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8.xml" ContentType="application/vnd.openxmlformats-officedocument.drawing+xml"/>
  <Override PartName="/xl/charts/chart11.xml" ContentType="application/vnd.openxmlformats-officedocument.drawingml.chart+xml"/>
  <Override PartName="/xl/drawings/drawing9.xml" ContentType="application/vnd.openxmlformats-officedocument.drawingml.chartshapes+xml"/>
  <Override PartName="/xl/charts/chart12.xml" ContentType="application/vnd.openxmlformats-officedocument.drawingml.chart+xml"/>
  <Override PartName="/xl/drawings/drawing10.xml" ContentType="application/vnd.openxmlformats-officedocument.drawingml.chartshapes+xml"/>
  <Override PartName="/xl/charts/chart13.xml" ContentType="application/vnd.openxmlformats-officedocument.drawingml.chart+xml"/>
  <Override PartName="/xl/drawings/drawing11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2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3.xml" ContentType="application/vnd.openxmlformats-officedocument.drawingml.chartshapes+xml"/>
  <Override PartName="/xl/charts/chart18.xml" ContentType="application/vnd.openxmlformats-officedocument.drawingml.chart+xml"/>
  <Override PartName="/xl/drawings/drawing14.xml" ContentType="application/vnd.openxmlformats-officedocument.drawing+xml"/>
  <Override PartName="/xl/charts/chart19.xml" ContentType="application/vnd.openxmlformats-officedocument.drawingml.chart+xml"/>
  <Override PartName="/xl/drawings/drawing15.xml" ContentType="application/vnd.openxmlformats-officedocument.drawingml.chartshapes+xml"/>
  <Override PartName="/xl/charts/chart20.xml" ContentType="application/vnd.openxmlformats-officedocument.drawingml.chart+xml"/>
  <Override PartName="/xl/drawings/drawing16.xml" ContentType="application/vnd.openxmlformats-officedocument.drawingml.chartshapes+xml"/>
  <Override PartName="/xl/charts/chart21.xml" ContentType="application/vnd.openxmlformats-officedocument.drawingml.chart+xml"/>
  <Override PartName="/xl/drawings/drawing17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8.xml" ContentType="application/vnd.openxmlformats-officedocument.drawingml.chartshapes+xml"/>
  <Override PartName="/xl/charts/chart24.xml" ContentType="application/vnd.openxmlformats-officedocument.drawingml.chart+xml"/>
  <Override PartName="/xl/drawings/drawing19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ml.chartshapes+xml"/>
  <Override PartName="/xl/charts/chart26.xml" ContentType="application/vnd.openxmlformats-officedocument.drawingml.chart+xml"/>
  <Override PartName="/xl/drawings/drawing21.xml" ContentType="application/vnd.openxmlformats-officedocument.drawingml.chartshapes+xml"/>
  <Override PartName="/xl/charts/chart27.xml" ContentType="application/vnd.openxmlformats-officedocument.drawingml.chart+xml"/>
  <Override PartName="/xl/drawings/drawing22.xml" ContentType="application/vnd.openxmlformats-officedocument.drawingml.chartshapes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4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5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6.xml" ContentType="application/vnd.openxmlformats-officedocument.drawingml.chartshapes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7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8.xml" ContentType="application/vnd.openxmlformats-officedocument.drawingml.chartshapes+xml"/>
  <Override PartName="/xl/charts/chart39.xml" ContentType="application/vnd.openxmlformats-officedocument.drawingml.chart+xml"/>
  <Override PartName="/xl/theme/themeOverride5.xml" ContentType="application/vnd.openxmlformats-officedocument.themeOverride+xml"/>
  <Override PartName="/xl/drawings/drawing29.xml" ContentType="application/vnd.openxmlformats-officedocument.drawingml.chartshapes+xml"/>
  <Override PartName="/xl/charts/chart40.xml" ContentType="application/vnd.openxmlformats-officedocument.drawingml.chart+xml"/>
  <Override PartName="/xl/theme/themeOverride6.xml" ContentType="application/vnd.openxmlformats-officedocument.themeOverride+xml"/>
  <Override PartName="/xl/drawings/drawing30.xml" ContentType="application/vnd.openxmlformats-officedocument.drawingml.chartshapes+xml"/>
  <Override PartName="/xl/charts/chart41.xml" ContentType="application/vnd.openxmlformats-officedocument.drawingml.chart+xml"/>
  <Override PartName="/xl/theme/themeOverride7.xml" ContentType="application/vnd.openxmlformats-officedocument.themeOverride+xml"/>
  <Override PartName="/xl/drawings/drawing31.xml" ContentType="application/vnd.openxmlformats-officedocument.drawingml.chartshapes+xml"/>
  <Override PartName="/xl/charts/chart42.xml" ContentType="application/vnd.openxmlformats-officedocument.drawingml.chart+xml"/>
  <Override PartName="/xl/theme/themeOverride8.xml" ContentType="application/vnd.openxmlformats-officedocument.themeOverride+xml"/>
  <Override PartName="/xl/drawings/drawing3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patri\Desktop\Documenti Ecomuseo\progetti - escursioni 2018\Inversion\Dexi - indicatori\versioni def materiali Dexi\"/>
    </mc:Choice>
  </mc:AlternateContent>
  <xr:revisionPtr revIDLastSave="0" documentId="13_ncr:1_{6B6D8F7F-777D-4E5E-B7A0-1CF9853845CB}" xr6:coauthVersionLast="46" xr6:coauthVersionMax="46" xr10:uidLastSave="{00000000-0000-0000-0000-000000000000}"/>
  <bookViews>
    <workbookView xWindow="-120" yWindow="-120" windowWidth="20730" windowHeight="11160" tabRatio="904" activeTab="2" xr2:uid="{00000000-000D-0000-FFFF-FFFF00000000}"/>
  </bookViews>
  <sheets>
    <sheet name="valori e pesi DEXI-INVERSION" sheetId="2" r:id="rId1"/>
    <sheet name="Salute del suolo" sheetId="11" r:id="rId2"/>
    <sheet name="Tabella_razione" sheetId="7" r:id="rId3"/>
    <sheet name="Inquinanti idrici" sheetId="8" r:id="rId4"/>
    <sheet name="Valutazione Dim. Ambientale" sheetId="3" r:id="rId5"/>
    <sheet name="Bilancio economico" sheetId="9" r:id="rId6"/>
    <sheet name="Valutazione Dim.Etica" sheetId="5" r:id="rId7"/>
    <sheet name="Valutazione Dim.SocioEconomica" sheetId="4" r:id="rId8"/>
    <sheet name="Valutazione Riepilogo " sheetId="10" r:id="rId9"/>
    <sheet name="motore valutazione" sheetId="1" r:id="rId10"/>
    <sheet name="option_import_tab.txt" sheetId="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2" i="1" l="1"/>
  <c r="D55" i="9"/>
  <c r="B113" i="9"/>
  <c r="B114" i="9"/>
  <c r="B115" i="9"/>
  <c r="B116" i="9"/>
  <c r="B117" i="9"/>
  <c r="B118" i="9"/>
  <c r="B119" i="9"/>
  <c r="B112" i="9"/>
  <c r="B2" i="9" l="1"/>
  <c r="F7" i="2"/>
  <c r="E29" i="7"/>
  <c r="E30" i="7"/>
  <c r="E34" i="7"/>
  <c r="F38" i="7"/>
  <c r="C59" i="1"/>
  <c r="C53" i="1"/>
  <c r="C45" i="1"/>
  <c r="C37" i="1"/>
  <c r="C33" i="1"/>
  <c r="C25" i="1"/>
  <c r="C15" i="1"/>
  <c r="C8" i="1"/>
  <c r="C2" i="1"/>
  <c r="D60" i="1"/>
  <c r="D61" i="1"/>
  <c r="D54" i="1"/>
  <c r="D55" i="1"/>
  <c r="D56" i="1"/>
  <c r="D57" i="1"/>
  <c r="D58" i="1"/>
  <c r="D46" i="1"/>
  <c r="D47" i="1"/>
  <c r="D48" i="1"/>
  <c r="D38" i="1"/>
  <c r="D39" i="1"/>
  <c r="D40" i="1"/>
  <c r="D41" i="1"/>
  <c r="D42" i="1"/>
  <c r="D43" i="1"/>
  <c r="D44" i="1"/>
  <c r="D34" i="1"/>
  <c r="D35" i="1"/>
  <c r="D36" i="1"/>
  <c r="D26" i="1"/>
  <c r="D27" i="1"/>
  <c r="D28" i="1"/>
  <c r="D29" i="1"/>
  <c r="D30" i="1"/>
  <c r="D31" i="1"/>
  <c r="D16" i="1"/>
  <c r="D17" i="1"/>
  <c r="D18" i="1"/>
  <c r="D19" i="1"/>
  <c r="D20" i="1"/>
  <c r="D21" i="1"/>
  <c r="D22" i="1"/>
  <c r="D23" i="1"/>
  <c r="D24" i="1"/>
  <c r="D9" i="1"/>
  <c r="D10" i="1"/>
  <c r="D11" i="1"/>
  <c r="D12" i="1"/>
  <c r="D13" i="1"/>
  <c r="D14" i="1"/>
  <c r="D4" i="1"/>
  <c r="D5" i="1"/>
  <c r="D6" i="1"/>
  <c r="D7" i="1"/>
  <c r="D3" i="1"/>
  <c r="B22" i="6"/>
  <c r="B23" i="6"/>
  <c r="B25" i="6"/>
  <c r="A23" i="7"/>
  <c r="F21" i="11" l="1"/>
  <c r="F22" i="11"/>
  <c r="K16" i="11"/>
  <c r="J14" i="11"/>
  <c r="J15" i="11"/>
  <c r="J16" i="11"/>
  <c r="J17" i="11"/>
  <c r="J13" i="11"/>
  <c r="G14" i="11"/>
  <c r="G15" i="11"/>
  <c r="G16" i="11"/>
  <c r="G17" i="11"/>
  <c r="G13" i="11"/>
  <c r="D14" i="11"/>
  <c r="D15" i="11"/>
  <c r="D16" i="11"/>
  <c r="D17" i="11"/>
  <c r="D13" i="11"/>
  <c r="B14" i="11"/>
  <c r="K14" i="11" s="1"/>
  <c r="B16" i="11"/>
  <c r="B17" i="11"/>
  <c r="K17" i="11" s="1"/>
  <c r="B13" i="11"/>
  <c r="K13" i="11" s="1"/>
  <c r="B9" i="11"/>
  <c r="B15" i="11" s="1"/>
  <c r="K15" i="11" s="1"/>
  <c r="E21" i="11" s="1"/>
  <c r="F23" i="11" s="1"/>
  <c r="B8" i="11"/>
  <c r="F1" i="10"/>
  <c r="I21" i="11" l="1"/>
  <c r="G6" i="1" s="1"/>
  <c r="B23" i="8"/>
  <c r="C23" i="8"/>
  <c r="D23" i="8"/>
  <c r="B24" i="8"/>
  <c r="D17" i="8"/>
  <c r="E17" i="8"/>
  <c r="F17" i="8"/>
  <c r="B18" i="8"/>
  <c r="J12" i="8"/>
  <c r="K11" i="8" s="1"/>
  <c r="G1" i="1"/>
  <c r="D9" i="9"/>
  <c r="D10" i="9"/>
  <c r="D11" i="9"/>
  <c r="D12" i="9"/>
  <c r="D13" i="9"/>
  <c r="D14" i="9"/>
  <c r="D15" i="9"/>
  <c r="B29" i="9"/>
  <c r="E38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B133" i="9"/>
  <c r="B120" i="9"/>
  <c r="B107" i="9"/>
  <c r="G31" i="9" s="1"/>
  <c r="D93" i="9"/>
  <c r="D94" i="9"/>
  <c r="B89" i="9"/>
  <c r="D63" i="9"/>
  <c r="D64" i="9"/>
  <c r="D65" i="9"/>
  <c r="D66" i="9"/>
  <c r="D67" i="9"/>
  <c r="D68" i="9"/>
  <c r="D69" i="9"/>
  <c r="D70" i="9"/>
  <c r="D71" i="9"/>
  <c r="D72" i="9"/>
  <c r="D73" i="9"/>
  <c r="D74" i="9"/>
  <c r="D75" i="9"/>
  <c r="D77" i="9"/>
  <c r="D79" i="9"/>
  <c r="D26" i="8"/>
  <c r="C26" i="8"/>
  <c r="B26" i="8"/>
  <c r="L10" i="7"/>
  <c r="L11" i="7"/>
  <c r="L12" i="7"/>
  <c r="L13" i="7"/>
  <c r="L14" i="7"/>
  <c r="L15" i="7"/>
  <c r="L16" i="7"/>
  <c r="L17" i="7"/>
  <c r="L18" i="7"/>
  <c r="L5" i="7"/>
  <c r="L6" i="7"/>
  <c r="L7" i="7"/>
  <c r="L8" i="7"/>
  <c r="L9" i="7"/>
  <c r="L19" i="7"/>
  <c r="L20" i="7"/>
  <c r="L21" i="7"/>
  <c r="I10" i="7"/>
  <c r="I11" i="7"/>
  <c r="I12" i="7"/>
  <c r="I13" i="7"/>
  <c r="I14" i="7"/>
  <c r="I15" i="7"/>
  <c r="I16" i="7"/>
  <c r="I17" i="7"/>
  <c r="I18" i="7"/>
  <c r="I5" i="7"/>
  <c r="I9" i="7"/>
  <c r="I19" i="7"/>
  <c r="G5" i="7"/>
  <c r="G9" i="7"/>
  <c r="G10" i="7"/>
  <c r="G11" i="7"/>
  <c r="G12" i="7"/>
  <c r="G13" i="7"/>
  <c r="G14" i="7"/>
  <c r="G15" i="7"/>
  <c r="G16" i="7"/>
  <c r="G17" i="7"/>
  <c r="G18" i="7"/>
  <c r="G19" i="7"/>
  <c r="B26" i="7"/>
  <c r="B25" i="7"/>
  <c r="B27" i="7" s="1"/>
  <c r="J10" i="7"/>
  <c r="K10" i="7"/>
  <c r="J11" i="7"/>
  <c r="K11" i="7"/>
  <c r="J12" i="7"/>
  <c r="K12" i="7"/>
  <c r="J13" i="7"/>
  <c r="K13" i="7"/>
  <c r="J14" i="7"/>
  <c r="K14" i="7"/>
  <c r="J15" i="7"/>
  <c r="K15" i="7"/>
  <c r="J16" i="7"/>
  <c r="K16" i="7"/>
  <c r="J17" i="7"/>
  <c r="K17" i="7"/>
  <c r="J18" i="7"/>
  <c r="K18" i="7"/>
  <c r="H10" i="7"/>
  <c r="H11" i="7"/>
  <c r="H12" i="7"/>
  <c r="H13" i="7"/>
  <c r="H14" i="7"/>
  <c r="H5" i="7"/>
  <c r="G25" i="7" s="1"/>
  <c r="H9" i="7"/>
  <c r="H15" i="7"/>
  <c r="H16" i="7"/>
  <c r="H17" i="7"/>
  <c r="H18" i="7"/>
  <c r="H19" i="7"/>
  <c r="K21" i="7"/>
  <c r="J21" i="7"/>
  <c r="I21" i="7"/>
  <c r="H21" i="7"/>
  <c r="G21" i="7"/>
  <c r="K20" i="7"/>
  <c r="J20" i="7"/>
  <c r="I20" i="7"/>
  <c r="H20" i="7"/>
  <c r="G20" i="7"/>
  <c r="K19" i="7"/>
  <c r="J19" i="7"/>
  <c r="K9" i="7"/>
  <c r="J9" i="7"/>
  <c r="K8" i="7"/>
  <c r="J8" i="7"/>
  <c r="I8" i="7"/>
  <c r="H8" i="7"/>
  <c r="G8" i="7"/>
  <c r="K7" i="7"/>
  <c r="J7" i="7"/>
  <c r="I7" i="7"/>
  <c r="H7" i="7"/>
  <c r="G7" i="7"/>
  <c r="K6" i="7"/>
  <c r="J6" i="7"/>
  <c r="I6" i="7"/>
  <c r="H6" i="7"/>
  <c r="G6" i="7"/>
  <c r="K5" i="7"/>
  <c r="J5" i="7"/>
  <c r="B2" i="6"/>
  <c r="B3" i="6"/>
  <c r="B6" i="6"/>
  <c r="B7" i="6"/>
  <c r="B8" i="6"/>
  <c r="B9" i="6"/>
  <c r="B10" i="6"/>
  <c r="B11" i="6"/>
  <c r="B12" i="6"/>
  <c r="B13" i="6"/>
  <c r="B14" i="6"/>
  <c r="B15" i="6"/>
  <c r="B18" i="6"/>
  <c r="B19" i="6"/>
  <c r="B20" i="6"/>
  <c r="B21" i="6"/>
  <c r="B24" i="6"/>
  <c r="B26" i="6"/>
  <c r="B27" i="6"/>
  <c r="B28" i="6"/>
  <c r="B29" i="6"/>
  <c r="B30" i="6"/>
  <c r="B31" i="6"/>
  <c r="B32" i="6"/>
  <c r="B33" i="6"/>
  <c r="B35" i="6"/>
  <c r="B36" i="6"/>
  <c r="B37" i="6"/>
  <c r="B38" i="6"/>
  <c r="B39" i="6"/>
  <c r="B40" i="6"/>
  <c r="B41" i="6"/>
  <c r="B42" i="6"/>
  <c r="B43" i="6"/>
  <c r="B44" i="6"/>
  <c r="B45" i="6"/>
  <c r="B1" i="6"/>
  <c r="F1" i="5"/>
  <c r="F1" i="4"/>
  <c r="E62" i="1"/>
  <c r="E60" i="1"/>
  <c r="E61" i="1"/>
  <c r="G55" i="1"/>
  <c r="G56" i="1"/>
  <c r="G57" i="1"/>
  <c r="G58" i="1"/>
  <c r="G54" i="1"/>
  <c r="E55" i="1"/>
  <c r="E56" i="1"/>
  <c r="E57" i="1"/>
  <c r="E58" i="1"/>
  <c r="H58" i="1" s="1"/>
  <c r="E54" i="1"/>
  <c r="G46" i="1"/>
  <c r="G47" i="1"/>
  <c r="G48" i="1"/>
  <c r="G39" i="1"/>
  <c r="G40" i="1"/>
  <c r="G41" i="1"/>
  <c r="G42" i="1"/>
  <c r="G43" i="1"/>
  <c r="G44" i="1"/>
  <c r="G35" i="1"/>
  <c r="G36" i="1"/>
  <c r="G34" i="1"/>
  <c r="E48" i="1"/>
  <c r="E47" i="1"/>
  <c r="H47" i="1" s="1"/>
  <c r="E46" i="1"/>
  <c r="E38" i="1"/>
  <c r="E39" i="1"/>
  <c r="E40" i="1"/>
  <c r="E41" i="1"/>
  <c r="E42" i="1"/>
  <c r="E43" i="1"/>
  <c r="E44" i="1"/>
  <c r="E36" i="1"/>
  <c r="E35" i="1"/>
  <c r="E34" i="1"/>
  <c r="D33" i="1"/>
  <c r="F1" i="3"/>
  <c r="H8" i="1"/>
  <c r="H15" i="1"/>
  <c r="H25" i="1"/>
  <c r="E26" i="1"/>
  <c r="D25" i="1"/>
  <c r="D15" i="1"/>
  <c r="D8" i="1"/>
  <c r="D2" i="1"/>
  <c r="E27" i="1"/>
  <c r="E28" i="1"/>
  <c r="E29" i="1"/>
  <c r="E30" i="1"/>
  <c r="E31" i="1"/>
  <c r="E16" i="1"/>
  <c r="E17" i="1"/>
  <c r="E18" i="1"/>
  <c r="E19" i="1"/>
  <c r="E20" i="1"/>
  <c r="E21" i="1"/>
  <c r="E22" i="1"/>
  <c r="E23" i="1"/>
  <c r="E24" i="1"/>
  <c r="E9" i="1"/>
  <c r="E10" i="1"/>
  <c r="E11" i="1"/>
  <c r="E12" i="1"/>
  <c r="E13" i="1"/>
  <c r="E14" i="1"/>
  <c r="E4" i="1"/>
  <c r="E5" i="1"/>
  <c r="E6" i="1"/>
  <c r="E7" i="1"/>
  <c r="E3" i="1"/>
  <c r="G26" i="1"/>
  <c r="G27" i="1"/>
  <c r="G28" i="1"/>
  <c r="G29" i="1"/>
  <c r="G30" i="1"/>
  <c r="G31" i="1"/>
  <c r="G16" i="1"/>
  <c r="G17" i="1"/>
  <c r="G18" i="1"/>
  <c r="G21" i="1"/>
  <c r="G22" i="1"/>
  <c r="G23" i="1"/>
  <c r="F23" i="1" s="1"/>
  <c r="G24" i="1"/>
  <c r="F24" i="1" s="1"/>
  <c r="G9" i="1"/>
  <c r="G10" i="1"/>
  <c r="F10" i="1" s="1"/>
  <c r="G11" i="1"/>
  <c r="G12" i="1"/>
  <c r="G13" i="1"/>
  <c r="G14" i="1"/>
  <c r="G4" i="1"/>
  <c r="G7" i="1"/>
  <c r="G3" i="1"/>
  <c r="G34" i="9" l="1"/>
  <c r="D23" i="9"/>
  <c r="D99" i="9"/>
  <c r="G28" i="9" s="1"/>
  <c r="H14" i="1"/>
  <c r="F14" i="1"/>
  <c r="J54" i="1"/>
  <c r="F35" i="1"/>
  <c r="F7" i="1"/>
  <c r="F26" i="1"/>
  <c r="H34" i="1"/>
  <c r="H39" i="1"/>
  <c r="J33" i="1"/>
  <c r="I34" i="1" s="1"/>
  <c r="I35" i="1" s="1"/>
  <c r="H54" i="1"/>
  <c r="H22" i="1"/>
  <c r="F22" i="1"/>
  <c r="F18" i="1"/>
  <c r="F12" i="1"/>
  <c r="H7" i="1"/>
  <c r="J8" i="1"/>
  <c r="I9" i="1" s="1"/>
  <c r="I10" i="1" s="1"/>
  <c r="H31" i="1"/>
  <c r="J25" i="1"/>
  <c r="D59" i="9"/>
  <c r="G37" i="9" s="1"/>
  <c r="J45" i="1"/>
  <c r="I46" i="1" s="1"/>
  <c r="I47" i="1" s="1"/>
  <c r="F3" i="1"/>
  <c r="F58" i="1"/>
  <c r="B25" i="8"/>
  <c r="I12" i="8" s="1"/>
  <c r="K7" i="8" s="1"/>
  <c r="K6" i="8" s="1"/>
  <c r="F6" i="2" s="1"/>
  <c r="F57" i="1"/>
  <c r="G26" i="7"/>
  <c r="D81" i="9"/>
  <c r="G25" i="9" s="1"/>
  <c r="H25" i="7"/>
  <c r="F26" i="7"/>
  <c r="C38" i="7"/>
  <c r="F25" i="7"/>
  <c r="F27" i="7" s="1"/>
  <c r="D30" i="7" s="1"/>
  <c r="D31" i="7" s="1"/>
  <c r="H26" i="7"/>
  <c r="H6" i="1"/>
  <c r="B5" i="6"/>
  <c r="F30" i="1"/>
  <c r="H30" i="1"/>
  <c r="H23" i="1"/>
  <c r="H3" i="1"/>
  <c r="H27" i="1"/>
  <c r="F42" i="1"/>
  <c r="F16" i="1"/>
  <c r="H35" i="1"/>
  <c r="H10" i="1"/>
  <c r="F54" i="1"/>
  <c r="H55" i="1"/>
  <c r="H12" i="1"/>
  <c r="H46" i="1"/>
  <c r="H48" i="1"/>
  <c r="F34" i="1"/>
  <c r="H40" i="1"/>
  <c r="F47" i="1"/>
  <c r="H24" i="1"/>
  <c r="F36" i="1"/>
  <c r="H26" i="1"/>
  <c r="F27" i="1"/>
  <c r="H18" i="1"/>
  <c r="F4" i="1"/>
  <c r="F11" i="1"/>
  <c r="F31" i="1"/>
  <c r="H28" i="1"/>
  <c r="F55" i="1"/>
  <c r="F17" i="1"/>
  <c r="H57" i="1"/>
  <c r="F46" i="1"/>
  <c r="F40" i="1"/>
  <c r="H42" i="1"/>
  <c r="F39" i="1"/>
  <c r="F6" i="1"/>
  <c r="F56" i="1"/>
  <c r="C26" i="7"/>
  <c r="B34" i="7" s="1"/>
  <c r="G27" i="7"/>
  <c r="C25" i="7" s="1"/>
  <c r="H41" i="1"/>
  <c r="F41" i="1"/>
  <c r="F29" i="1"/>
  <c r="H29" i="1"/>
  <c r="H44" i="1"/>
  <c r="F44" i="1"/>
  <c r="H56" i="1"/>
  <c r="H16" i="1"/>
  <c r="H17" i="1"/>
  <c r="F13" i="1"/>
  <c r="H13" i="1"/>
  <c r="F9" i="1"/>
  <c r="H9" i="1"/>
  <c r="H21" i="1"/>
  <c r="F21" i="1"/>
  <c r="F43" i="1"/>
  <c r="H43" i="1"/>
  <c r="F28" i="1"/>
  <c r="H11" i="1"/>
  <c r="K9" i="8"/>
  <c r="H4" i="1"/>
  <c r="H36" i="1"/>
  <c r="F48" i="1"/>
  <c r="F22" i="9" l="1"/>
  <c r="F19" i="9"/>
  <c r="B4" i="6"/>
  <c r="G5" i="1"/>
  <c r="H5" i="1" s="1"/>
  <c r="H27" i="7"/>
  <c r="B38" i="7" s="1"/>
  <c r="D38" i="7" s="1"/>
  <c r="E38" i="7" s="1"/>
  <c r="F39" i="7" s="1"/>
  <c r="A39" i="7" s="1"/>
  <c r="F22" i="2" s="1"/>
  <c r="D25" i="7"/>
  <c r="D26" i="7"/>
  <c r="B30" i="7" s="1"/>
  <c r="C30" i="7"/>
  <c r="C31" i="7" s="1"/>
  <c r="E25" i="7"/>
  <c r="I26" i="1"/>
  <c r="I27" i="1" s="1"/>
  <c r="I54" i="1"/>
  <c r="I55" i="1" s="1"/>
  <c r="E33" i="7"/>
  <c r="E35" i="7"/>
  <c r="E26" i="7"/>
  <c r="F9" i="9" l="1"/>
  <c r="F12" i="9" s="1"/>
  <c r="F15" i="9"/>
  <c r="L14" i="9"/>
  <c r="O15" i="9" s="1"/>
  <c r="F37" i="7"/>
  <c r="A43" i="7" s="1"/>
  <c r="F5" i="1"/>
  <c r="J2" i="1"/>
  <c r="I3" i="1" s="1"/>
  <c r="I4" i="1" s="1"/>
  <c r="E31" i="7"/>
  <c r="A31" i="7" s="1"/>
  <c r="F50" i="2" s="1"/>
  <c r="G38" i="1" s="1"/>
  <c r="J37" i="1" s="1"/>
  <c r="K32" i="1" s="1"/>
  <c r="B31" i="7"/>
  <c r="B16" i="6"/>
  <c r="G19" i="1"/>
  <c r="A35" i="7"/>
  <c r="F23" i="2" s="1"/>
  <c r="O16" i="9" l="1"/>
  <c r="L11" i="9"/>
  <c r="O11" i="9" s="1"/>
  <c r="L8" i="9"/>
  <c r="O14" i="9"/>
  <c r="B34" i="6"/>
  <c r="G20" i="1"/>
  <c r="J15" i="1" s="1"/>
  <c r="K2" i="1" s="1"/>
  <c r="B17" i="6"/>
  <c r="F38" i="1"/>
  <c r="H38" i="1"/>
  <c r="F19" i="1"/>
  <c r="H19" i="1"/>
  <c r="P14" i="9" l="1"/>
  <c r="F70" i="2" s="1"/>
  <c r="G62" i="1" s="1"/>
  <c r="H62" i="1" s="1"/>
  <c r="O12" i="9"/>
  <c r="O13" i="9"/>
  <c r="O9" i="9"/>
  <c r="O8" i="9"/>
  <c r="O10" i="9"/>
  <c r="P8" i="9" s="1"/>
  <c r="F68" i="2" s="1"/>
  <c r="G60" i="1" s="1"/>
  <c r="H60" i="1" s="1"/>
  <c r="F20" i="1"/>
  <c r="H20" i="1"/>
  <c r="I38" i="1"/>
  <c r="I39" i="1" s="1"/>
  <c r="K33" i="1"/>
  <c r="K34" i="1" s="1"/>
  <c r="P11" i="9" l="1"/>
  <c r="F69" i="2" s="1"/>
  <c r="G61" i="1" s="1"/>
  <c r="F61" i="1" s="1"/>
  <c r="B48" i="6"/>
  <c r="F62" i="1"/>
  <c r="J60" i="1"/>
  <c r="K53" i="1" s="1"/>
  <c r="K54" i="1" s="1"/>
  <c r="K55" i="1" s="1"/>
  <c r="F60" i="1"/>
  <c r="B46" i="6"/>
  <c r="I16" i="1"/>
  <c r="I17" i="1" s="1"/>
  <c r="K3" i="1"/>
  <c r="K4" i="1" s="1"/>
  <c r="B47" i="6" l="1"/>
  <c r="H61" i="1"/>
  <c r="I60" i="1"/>
  <c r="I61" i="1" s="1"/>
  <c r="L2" i="1"/>
  <c r="L3" i="1" s="1"/>
  <c r="L4" i="1" s="1"/>
</calcChain>
</file>

<file path=xl/sharedStrings.xml><?xml version="1.0" encoding="utf-8"?>
<sst xmlns="http://schemas.openxmlformats.org/spreadsheetml/2006/main" count="469" uniqueCount="320">
  <si>
    <t>valutazione componente</t>
  </si>
  <si>
    <t>valutazione dimensione</t>
  </si>
  <si>
    <t>Valutazione complessiva</t>
  </si>
  <si>
    <t xml:space="preserve">intervalli: </t>
  </si>
  <si>
    <t>&gt;0,33333</t>
  </si>
  <si>
    <t>-0,33 a +0,33</t>
  </si>
  <si>
    <t>&lt;-0,3333</t>
  </si>
  <si>
    <t>Vulnerabilità</t>
  </si>
  <si>
    <t>Dimensione:</t>
  </si>
  <si>
    <t xml:space="preserve"> Ambientale</t>
  </si>
  <si>
    <t xml:space="preserve">Componente: </t>
  </si>
  <si>
    <t>Biodiversità</t>
  </si>
  <si>
    <t>VALORI  AZIENDA</t>
  </si>
  <si>
    <t>Contributo delle componenti</t>
  </si>
  <si>
    <t>Etologia collabrativa</t>
  </si>
  <si>
    <t>Peso indicatore</t>
  </si>
  <si>
    <t>Etica</t>
  </si>
  <si>
    <t>etica</t>
  </si>
  <si>
    <t>ambientale</t>
  </si>
  <si>
    <t>socio economica</t>
  </si>
  <si>
    <t>Socio-Territoriale</t>
  </si>
  <si>
    <t>Economica</t>
  </si>
  <si>
    <t>Socio Economica</t>
  </si>
  <si>
    <t>Componente  peso</t>
  </si>
  <si>
    <t>Azienda1</t>
  </si>
  <si>
    <t>#</t>
  </si>
  <si>
    <t>rimepire le celle verdi</t>
  </si>
  <si>
    <t>valori medi capo die</t>
  </si>
  <si>
    <t>peso tal quale kg</t>
  </si>
  <si>
    <t>%proteine</t>
  </si>
  <si>
    <t>%SS</t>
  </si>
  <si>
    <t>SS Kg</t>
  </si>
  <si>
    <t>proteina Kg</t>
  </si>
  <si>
    <t>correggere se dati a disposizione più accurati</t>
  </si>
  <si>
    <t>silomais ceroso</t>
  </si>
  <si>
    <t>insilato d'erba</t>
  </si>
  <si>
    <t>granella/mangimi (cereali, leguminose)</t>
  </si>
  <si>
    <t>erba da pascolo (se nota o stimata)</t>
  </si>
  <si>
    <t>altro Foraggio(sostituire)</t>
  </si>
  <si>
    <t xml:space="preserve">% proteine </t>
  </si>
  <si>
    <t>% UFL</t>
  </si>
  <si>
    <t>mangime somministrato</t>
  </si>
  <si>
    <t>foraggi somministrati</t>
  </si>
  <si>
    <t>totale razione somministrata</t>
  </si>
  <si>
    <t>Indicatore 2.2.1 - Razione alimentare</t>
  </si>
  <si>
    <t>% foraggi in peso secco sulla razione somministrata</t>
  </si>
  <si>
    <t>%insilato erba</t>
  </si>
  <si>
    <t>Rapporto foraggi/concentrati nella razione alimentare Invernale</t>
  </si>
  <si>
    <t>% proteine da foraggio su razione somministrata</t>
  </si>
  <si>
    <t>Valutazione di quanto si utilizzano fonti proteiche da foraggi nella razione invernale</t>
  </si>
  <si>
    <t>Unità foraggere stimate da pascolo</t>
  </si>
  <si>
    <t>%UF da pascolo</t>
  </si>
  <si>
    <t>Valuta, in termini energetici,  la quantità di alimenti necessari ad integrare il pascolo in estate</t>
  </si>
  <si>
    <t>UF</t>
  </si>
  <si>
    <t>soia</t>
  </si>
  <si>
    <t>favino</t>
  </si>
  <si>
    <t>pisello proteico</t>
  </si>
  <si>
    <t>avena</t>
  </si>
  <si>
    <t>mais</t>
  </si>
  <si>
    <t>sorgo</t>
  </si>
  <si>
    <t>farro</t>
  </si>
  <si>
    <t>orzo</t>
  </si>
  <si>
    <t>Unità foraggere somministrate durante stabulazione</t>
  </si>
  <si>
    <t>Unità foraggere somministrate durante pascolo</t>
  </si>
  <si>
    <t>Granella/mangimi (cereali, leguminose)</t>
  </si>
  <si>
    <t>Razione in assenza di Pascolo</t>
  </si>
  <si>
    <t>Razione in assenza di pascolo</t>
  </si>
  <si>
    <t>Razione in presenza di pascolo</t>
  </si>
  <si>
    <t>valori su razione somministrata in assenza di pascolo</t>
  </si>
  <si>
    <t>L’indicatore permette di valutare l’impatto delle attività aziendali sulla qualità delle acque.</t>
  </si>
  <si>
    <t>Per facilitare la risposta è qui fornito un piccolo modulo che consente di  aiutare a valutare il rischio delle attività aziendali, inerenti le pratiche di campo e di gestione delle deiezioni di stalla.</t>
  </si>
  <si>
    <t>Risposte</t>
  </si>
  <si>
    <t>Si</t>
  </si>
  <si>
    <t>No</t>
  </si>
  <si>
    <t>inserisci un uno (1) sotto la risposta corretta</t>
  </si>
  <si>
    <t>Rischio lisciviazione Azoto</t>
  </si>
  <si>
    <t>2)Vengono utilizzati prodotti chimici di sintesi per la concimazione delle colture?</t>
  </si>
  <si>
    <t xml:space="preserve">Domande: </t>
  </si>
  <si>
    <t>torboso</t>
  </si>
  <si>
    <t>medio impasto</t>
  </si>
  <si>
    <t>argilloso</t>
  </si>
  <si>
    <t>limoso</t>
  </si>
  <si>
    <t>Indicare titolo di Azoto (N %) se Nota</t>
  </si>
  <si>
    <t xml:space="preserve"> vanno riporatati i dati dell'appezzamento dove avviene il maggior volume di distribuzione di deiezioni in un anno di gestione</t>
  </si>
  <si>
    <t>N lisciviabile nell'anno Kg Ha</t>
  </si>
  <si>
    <t>Totale</t>
  </si>
  <si>
    <t>sciolto sabbioso</t>
  </si>
  <si>
    <t>% tipo di suolo</t>
  </si>
  <si>
    <t>Coef. lisciviazione legata al suolo</t>
  </si>
  <si>
    <r>
      <t>Materiale distribuito m</t>
    </r>
    <r>
      <rPr>
        <b/>
        <vertAlign val="superscript"/>
        <sz val="14"/>
        <rFont val="Arial"/>
        <family val="2"/>
      </rPr>
      <t>3</t>
    </r>
    <r>
      <rPr>
        <b/>
        <sz val="14"/>
        <rFont val="Arial"/>
        <family val="2"/>
      </rPr>
      <t xml:space="preserve">/ha </t>
    </r>
    <r>
      <rPr>
        <sz val="11"/>
        <rFont val="Arial"/>
        <family val="2"/>
      </rPr>
      <t>or</t>
    </r>
    <r>
      <rPr>
        <b/>
        <sz val="14"/>
        <rFont val="Arial"/>
        <family val="2"/>
      </rPr>
      <t xml:space="preserve"> t/ha</t>
    </r>
  </si>
  <si>
    <r>
      <t xml:space="preserve">1) Il suolo dei campi è coperto durante tutte le stagioni dell'anno </t>
    </r>
    <r>
      <rPr>
        <sz val="8"/>
        <rFont val="Arial"/>
        <family val="2"/>
      </rPr>
      <t>(es. grazie all'uso colture di copertura)</t>
    </r>
    <r>
      <rPr>
        <sz val="10"/>
        <rFont val="Arial"/>
        <family val="2"/>
      </rPr>
      <t>?</t>
    </r>
  </si>
  <si>
    <t>Liquame</t>
  </si>
  <si>
    <t>3) Vegono utilizzati prodotto chimici tossici o molto tossici per i trattamenti fitoiatrici? (https://www.plis.it/tecnologie_a_tutela_della_vita_e_dell'_occupazione/agri2.htm#23)</t>
  </si>
  <si>
    <t>5) Gli animali vengono fatti pascolare in aree in cui il cotico erboso è fortemdnte compromesso?</t>
  </si>
  <si>
    <t>N distribuito</t>
  </si>
  <si>
    <t>*</t>
  </si>
  <si>
    <t>UF  kg tal quale</t>
  </si>
  <si>
    <t>% peso secco</t>
  </si>
  <si>
    <t>compilare le parti in verde nelle colonne B e C</t>
  </si>
  <si>
    <t xml:space="preserve">i suggerimenti sono scritti in grigio su fondo giallo </t>
  </si>
  <si>
    <t>Nome azienda</t>
  </si>
  <si>
    <t>inserire nome azienda</t>
  </si>
  <si>
    <t>Stipendio imprenditore agricolo €/anno</t>
  </si>
  <si>
    <t>inserire stipendio annuale €</t>
  </si>
  <si>
    <t>Unità lavorative</t>
  </si>
  <si>
    <t>una unità lavorativa corrisponde a 48 ore/settimana lavoro</t>
  </si>
  <si>
    <t>I valori degli indicatori vengono automaticamente riportati nella sintesi del file excel</t>
  </si>
  <si>
    <t>Inserire le entrate aziendali, considerando il costo per prodotto oppure il totale annuale in euro</t>
  </si>
  <si>
    <t>Sintesi Bilancio</t>
  </si>
  <si>
    <t>INDICATORI</t>
  </si>
  <si>
    <t>Voce</t>
  </si>
  <si>
    <t>Euro/Kg o unità</t>
  </si>
  <si>
    <t>Quantità/Kg o unità</t>
  </si>
  <si>
    <t>Totale euro</t>
  </si>
  <si>
    <t>Tornaconto</t>
  </si>
  <si>
    <t>PLV/SV</t>
  </si>
  <si>
    <t>mercatini</t>
  </si>
  <si>
    <t>didattica</t>
  </si>
  <si>
    <t>Formaggio</t>
  </si>
  <si>
    <t>Reddito netto aziendale</t>
  </si>
  <si>
    <t>Produttività (euro/Ha)</t>
  </si>
  <si>
    <t>(VA/superficie tot utilizzata)</t>
  </si>
  <si>
    <t>salumi</t>
  </si>
  <si>
    <t>agriturismo</t>
  </si>
  <si>
    <t>carne bovini</t>
  </si>
  <si>
    <t>Efficienza gestionale (euro/unità lavorative)</t>
  </si>
  <si>
    <t>carne suini</t>
  </si>
  <si>
    <t>altre voci</t>
  </si>
  <si>
    <t>Totale Spese vive</t>
  </si>
  <si>
    <t xml:space="preserve">Quote </t>
  </si>
  <si>
    <t>TOTALE</t>
  </si>
  <si>
    <t>Stipendi e Salari</t>
  </si>
  <si>
    <t>Contributi/anno</t>
  </si>
  <si>
    <t>Importo euro</t>
  </si>
  <si>
    <t>Imposte</t>
  </si>
  <si>
    <t>Totale contributi accoppiati</t>
  </si>
  <si>
    <t>Totale contributi misure agro-ambientali e dalle indennità compensative</t>
  </si>
  <si>
    <t>Beneficio fondiario</t>
  </si>
  <si>
    <t>Utile Lordo di Stalla</t>
  </si>
  <si>
    <t>Inserire l'equivalente in euro della somma dei capi di bestiame a fine anno</t>
  </si>
  <si>
    <t>Inserire il valore in euro dei capi di bestiame venduti nell'anno</t>
  </si>
  <si>
    <t>Inserire l'equivalente in euro della somma dei capi di bestiame ad inizio anno</t>
  </si>
  <si>
    <t>Inserire l'equivalente in euro dei capi di bestiame acquistati durante l'anno</t>
  </si>
  <si>
    <t>Consistenza finale (euro)</t>
  </si>
  <si>
    <t xml:space="preserve">Vendite </t>
  </si>
  <si>
    <t>Consistenza iniziale</t>
  </si>
  <si>
    <t>Acquisti</t>
  </si>
  <si>
    <t>ULS</t>
  </si>
  <si>
    <t>Inserire le spese aziendali sostenute nell'anno per la produzione. Inserire prezzo e quantità oppure il totale annuale in euro</t>
  </si>
  <si>
    <t>Prezzo/unità</t>
  </si>
  <si>
    <t>Numero unità</t>
  </si>
  <si>
    <t>fieno</t>
  </si>
  <si>
    <t>mangime</t>
  </si>
  <si>
    <t>farmaci</t>
  </si>
  <si>
    <t>gasolio</t>
  </si>
  <si>
    <t>veterinario</t>
  </si>
  <si>
    <t>corrente caseificio</t>
  </si>
  <si>
    <t>sale e fermenti formaggio</t>
  </si>
  <si>
    <t>corrente agriturismo</t>
  </si>
  <si>
    <t>sale animale</t>
  </si>
  <si>
    <t>sementi</t>
  </si>
  <si>
    <t>Quote di ammortamento</t>
  </si>
  <si>
    <t>inserire il valore stimato dei macchinari/utensili acquistati e la loro durata di vita (stimata)</t>
  </si>
  <si>
    <t>prezzo/unità</t>
  </si>
  <si>
    <t>Vita</t>
  </si>
  <si>
    <t>Trattore</t>
  </si>
  <si>
    <t>sottovuoto</t>
  </si>
  <si>
    <t>mungitrice</t>
  </si>
  <si>
    <t>agitatore</t>
  </si>
  <si>
    <t>spersoio</t>
  </si>
  <si>
    <t>paiolo</t>
  </si>
  <si>
    <t>vasca latte</t>
  </si>
  <si>
    <t>tavolo+lavello</t>
  </si>
  <si>
    <t>elettropompa</t>
  </si>
  <si>
    <t xml:space="preserve">altro </t>
  </si>
  <si>
    <t>Assicurazioni</t>
  </si>
  <si>
    <t>Inserire le spese assicurative annuali (solo lavorative e non personali)</t>
  </si>
  <si>
    <t>Importo euro/anno</t>
  </si>
  <si>
    <t>Assicurazione danni bestiame</t>
  </si>
  <si>
    <t>Assicurazione grandine</t>
  </si>
  <si>
    <t>Altro</t>
  </si>
  <si>
    <t>Inserire stipendi e salari dei collaboratori considerando il costo aziendale</t>
  </si>
  <si>
    <t>Euro/ora</t>
  </si>
  <si>
    <t>totale ore anno</t>
  </si>
  <si>
    <t>TOT stipendio</t>
  </si>
  <si>
    <t>operaio</t>
  </si>
  <si>
    <t>pastore</t>
  </si>
  <si>
    <t xml:space="preserve">Imposte </t>
  </si>
  <si>
    <t>Inserire le imposte pagate nell'anno</t>
  </si>
  <si>
    <t>Importo (euro)</t>
  </si>
  <si>
    <t>IRPEF</t>
  </si>
  <si>
    <t>altro</t>
  </si>
  <si>
    <t>Beneficio Fondiario</t>
  </si>
  <si>
    <t>Affitto annuo ipotetico</t>
  </si>
  <si>
    <t>stalla</t>
  </si>
  <si>
    <t>caseificio e negozio</t>
  </si>
  <si>
    <t>terreni</t>
  </si>
  <si>
    <t>Affitto terreni</t>
  </si>
  <si>
    <t>Inserire gli affitti reali annuali</t>
  </si>
  <si>
    <t>Costo annuo</t>
  </si>
  <si>
    <t>malga</t>
  </si>
  <si>
    <t>Valore calcolato</t>
  </si>
  <si>
    <t>Sostenibilità della performance</t>
  </si>
  <si>
    <t>valore DEXi-Inversion</t>
  </si>
  <si>
    <t>Totale considerato il suolo</t>
  </si>
  <si>
    <t>6) L'azoto lisciviabile apportato supera il limite di rischio</t>
  </si>
  <si>
    <t>Se compilato il foglio "tabella Razione" il valore è già stato inserito automaticamente</t>
  </si>
  <si>
    <t>Se compilato il foglio "Bilancio Economico" il valore è già stato inserito automaticamente</t>
  </si>
  <si>
    <t>Se compilato il foglio "Inquinanti idrici" il valore è già stato inserito automaticamente</t>
  </si>
  <si>
    <t>Letame maturo (&gt;6mesi)</t>
  </si>
  <si>
    <t>Letame Fresco (3-6 mesi)</t>
  </si>
  <si>
    <t>4) vengono utilizzate zone "buffer" dove non vengono distribuiti prodotti chimici di sintesi o fertilizzanti (es. uso di siepi, 5 m di rispetto da fossi, ecc.tc.)</t>
  </si>
  <si>
    <t xml:space="preserve">I valori possono essere "+1", "0", "-1" oppure si può non rispondere: "*" </t>
  </si>
  <si>
    <t>Salute del suolo</t>
  </si>
  <si>
    <t>strato 1°</t>
  </si>
  <si>
    <t>strato 2°</t>
  </si>
  <si>
    <t>strato.. n</t>
  </si>
  <si>
    <t>strato 3°</t>
  </si>
  <si>
    <t xml:space="preserve">minima </t>
  </si>
  <si>
    <t xml:space="preserve">massima </t>
  </si>
  <si>
    <t>struttura del suolo</t>
  </si>
  <si>
    <t>compattezza del suolo</t>
  </si>
  <si>
    <t>presenza di lombrichi</t>
  </si>
  <si>
    <t>granulare o grumosa</t>
  </si>
  <si>
    <t>compattamento moderato</t>
  </si>
  <si>
    <t>molto compattato</t>
  </si>
  <si>
    <t xml:space="preserve">indicare il numero di lombrichi, deiezioni o gallerie </t>
  </si>
  <si>
    <t>presenza di lombrichi gallerie o deizioni</t>
  </si>
  <si>
    <t>strato.. n+1</t>
  </si>
  <si>
    <t>indicare la struttura e la compatezza del suolo per ogni strato, come percentuale.</t>
  </si>
  <si>
    <t>Compilando le aree in verde nella tabella sottostante, con le informazioni provenienti dal test della vanga, si ottiene automaticamente il valore di sostenibilità per il DEXi INVERSION</t>
  </si>
  <si>
    <t>soffice</t>
  </si>
  <si>
    <t>Punteggio struttura</t>
  </si>
  <si>
    <t>Punteggio compatezza</t>
  </si>
  <si>
    <t>Punteggio lombrichi</t>
  </si>
  <si>
    <t>1.1.4 Salute del suolo</t>
  </si>
  <si>
    <t>INDICATORE</t>
  </si>
  <si>
    <t>spessore strato (cm)</t>
  </si>
  <si>
    <t>profondità (cm)</t>
  </si>
  <si>
    <t>Punteggio per strato</t>
  </si>
  <si>
    <t>Se compilato il foglio "Salute del suolo" il valore è già stato inserito automaticamente</t>
  </si>
  <si>
    <t xml:space="preserve">poliedrica o subangolare grande, lamellare, assenza di struttura </t>
  </si>
  <si>
    <t>poliedrica o subangolare piccola</t>
  </si>
  <si>
    <t>Valuta la salute del suolo, tramite tre valori riportati dal test della vanga (https://soilhealth.capsella.eu/?setLang=it) relativi a struttura, compattezza e presenza di lombrich nel sulo.</t>
  </si>
  <si>
    <t>fieno di prato stabile</t>
  </si>
  <si>
    <t>fieno di medica (di secondo taglio)</t>
  </si>
  <si>
    <t>1.1.3 Inquinanti idrici</t>
  </si>
  <si>
    <t>frumento tenero</t>
  </si>
  <si>
    <t>1.4.3. Efficienza razione foraggera</t>
  </si>
  <si>
    <t>1.1.1. Riduzione dei GHG</t>
  </si>
  <si>
    <t>1.1.2. Conservazione della risorsa idrica</t>
  </si>
  <si>
    <t>1.1.3. Inquinanti idrici</t>
  </si>
  <si>
    <t>1.1.4. Salute del suolo</t>
  </si>
  <si>
    <t>1.1.5. Protezione contro l'erosione, copertura colturale del suolo</t>
  </si>
  <si>
    <t>1.2.1. Aree di interesse ecologico</t>
  </si>
  <si>
    <t>1.2.2. Biodiversita' animale</t>
  </si>
  <si>
    <t>1.2.3. Specie animali allevate</t>
  </si>
  <si>
    <t>1.2.4. Avvicendamento colturale</t>
  </si>
  <si>
    <t>1.2.5. Rusticita'</t>
  </si>
  <si>
    <t>1.2.6. Presenza di varieta'/razze, ecotipi vegetali e animali locali</t>
  </si>
  <si>
    <t>1.3.1. Quantità di utilizzo del pascolo</t>
  </si>
  <si>
    <t>1.3.2. Gestione pascolo</t>
  </si>
  <si>
    <t>1.3.3. % di SAU destinata ai foraggi da colture pluriennali</t>
  </si>
  <si>
    <t>1.3.4. Energia della razione alimentare fornita dal pascolo</t>
  </si>
  <si>
    <t>1.3.5. Proteine da foraggi</t>
  </si>
  <si>
    <t>1.3.6. Prevenzione sanitaria</t>
  </si>
  <si>
    <t>1.3.7. Medicine alternative o tradizionali</t>
  </si>
  <si>
    <t>1.3.8. Numero trattamenti antibiotici</t>
  </si>
  <si>
    <t xml:space="preserve">1.3.9. Numero trattamenti antiparassitari </t>
  </si>
  <si>
    <t>1.4.1. Fertilita'</t>
  </si>
  <si>
    <t>1.4.2. Incremento ponderale giornaliero</t>
  </si>
  <si>
    <t>1.4.4. Tasso di riforma involontaria</t>
  </si>
  <si>
    <t>1.4.5. Qualita' del latte</t>
  </si>
  <si>
    <t>1.4.6. Rapporto omega6/omega3</t>
  </si>
  <si>
    <t>2.1.1. Benessere nei sistemi bradi e semibradi</t>
  </si>
  <si>
    <t>2.1.2. Adeguatezza strutture e impianti</t>
  </si>
  <si>
    <t>2.1.3. Paddock</t>
  </si>
  <si>
    <t>2.3.1. Attenzione e tempo dedicati all’osservazione degli animali</t>
  </si>
  <si>
    <t>2.3.2. Interazione persona-animale</t>
  </si>
  <si>
    <t>2.3.3. Contenimento e manualita'</t>
  </si>
  <si>
    <t>2.2.1. Razione alimentare</t>
  </si>
  <si>
    <t>2.2.2. Gestione dell’alimentazione</t>
  </si>
  <si>
    <t>2.2.3. Sviluppo corporeo della giovane femmina alla prima fecondazione</t>
  </si>
  <si>
    <t>2.2.4. Gestione dei giovani animali</t>
  </si>
  <si>
    <t>2.2.5. Attenzione agli animali anziani</t>
  </si>
  <si>
    <t>2.2.6. Gestione parto e post-partum</t>
  </si>
  <si>
    <t>2.2.7. Gestione della relazione madre-figlio</t>
  </si>
  <si>
    <t>3.1.1. Relazioni sul territorio</t>
  </si>
  <si>
    <t>3.1.2. Qualità della vita e del lavoro</t>
  </si>
  <si>
    <t>3.1.3. Conflitto intergenerazionale</t>
  </si>
  <si>
    <t>3.1.4. Formazione operatori aziendali</t>
  </si>
  <si>
    <t>3.1.5. Comunicazione e coordinamento</t>
  </si>
  <si>
    <t>3.2.1. Produttivita'</t>
  </si>
  <si>
    <t>3.2.2. Efficienza gestionale</t>
  </si>
  <si>
    <t>3.2.3. Vulnerabilita'</t>
  </si>
  <si>
    <t>1.3.9. Numero trattamenti antiparassitari</t>
  </si>
  <si>
    <t>3.2.3. Vulnerabilita</t>
  </si>
  <si>
    <t>Gestione zootecnica</t>
  </si>
  <si>
    <t>Ambienti di allevamento</t>
  </si>
  <si>
    <t>Gestione risorse zootecniche</t>
  </si>
  <si>
    <t>Pratiche zootecniche</t>
  </si>
  <si>
    <t xml:space="preserve">Aria acqua suolo </t>
  </si>
  <si>
    <t>% insilato mais</t>
  </si>
  <si>
    <t>Spese Varie anno (SV)</t>
  </si>
  <si>
    <t>Totale Produzione lorda vendibile (PLV)</t>
  </si>
  <si>
    <t>Valore aggiunto (VA)</t>
  </si>
  <si>
    <t>Produzione agricola e servizi</t>
  </si>
  <si>
    <t>(VA/unità lavorative)</t>
  </si>
  <si>
    <t>Spese Varie (SV)</t>
  </si>
  <si>
    <t>Inserire un affitto che si pagherebbe per le strutture/terreni ecc… secondo il mercato locale se questi non fossero di proprietà</t>
  </si>
  <si>
    <t>oppure moltiplicare il valore commerciale del bene per 0,02</t>
  </si>
  <si>
    <t>Valore del bene</t>
  </si>
  <si>
    <t xml:space="preserve">consumabili di stalla </t>
  </si>
  <si>
    <t>manutenzione macchinari</t>
  </si>
  <si>
    <t xml:space="preserve"> servizi di marketing</t>
  </si>
  <si>
    <t>servizi di contabilità</t>
  </si>
  <si>
    <t>Superificie totale utilizzata ha</t>
  </si>
  <si>
    <t xml:space="preserve">inserire superficie in Ha considerando anche le superfici utilizzate inofrmalmente o stagionalmente come indicato a pg 75 nel manuale </t>
  </si>
  <si>
    <t xml:space="preserve">Indicatore 1.3.5 Proteine da foraggio </t>
  </si>
  <si>
    <t>Indicatore 1.3.4 Efficienza Pascoli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</si>
</sst>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€&quot;\ * #,##0.00_-;\-&quot;€&quot;\ * #,##0.00_-;_-&quot;€&quot;\ * &quot;-&quot;??_-;_-@_-"/>
    <numFmt numFmtId="164" formatCode="#,##0.00\ &quot;€&quot;;[Red]\-#,##0.00\ &quot;€&quot;"/>
    <numFmt numFmtId="165" formatCode="dd/mm/yy"/>
    <numFmt numFmtId="166" formatCode="\+0%"/>
    <numFmt numFmtId="167" formatCode="[&gt;0]\+#;General"/>
    <numFmt numFmtId="168" formatCode="[&gt;0]\+#;[&lt;0]\-#"/>
    <numFmt numFmtId="169" formatCode="[&gt;0]\+#;[&lt;0]\-#;General"/>
    <numFmt numFmtId="170" formatCode="[$-410]General"/>
    <numFmt numFmtId="171" formatCode="0.0%"/>
    <numFmt numFmtId="172" formatCode="[$-410]0.00%"/>
    <numFmt numFmtId="173" formatCode="&quot;€&quot;\ #,##0.00"/>
    <numFmt numFmtId="174" formatCode="_-[$€-410]\ * #,##0.00_-;\-[$€-410]\ * #,##0.00_-;_-[$€-410]\ * &quot;-&quot;??_-;_-@_-"/>
    <numFmt numFmtId="175" formatCode="[$€-2]\ #,##0.000;[Red][$€-2]\ #,##0.000"/>
  </numFmts>
  <fonts count="68">
    <font>
      <sz val="10"/>
      <name val="Arial"/>
      <family val="2"/>
    </font>
    <font>
      <b/>
      <sz val="15"/>
      <name val="Arial"/>
      <family val="2"/>
    </font>
    <font>
      <b/>
      <sz val="13"/>
      <name val="Arial"/>
      <family val="2"/>
    </font>
    <font>
      <b/>
      <sz val="10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sz val="9"/>
      <name val="Calibri"/>
      <family val="2"/>
    </font>
    <font>
      <sz val="10"/>
      <name val="Mangal"/>
      <family val="2"/>
    </font>
    <font>
      <sz val="10"/>
      <name val="Calibri11"/>
    </font>
    <font>
      <b/>
      <sz val="18"/>
      <name val="Arial"/>
      <family val="2"/>
    </font>
    <font>
      <b/>
      <sz val="16"/>
      <name val="Arial"/>
      <family val="2"/>
    </font>
    <font>
      <b/>
      <sz val="16"/>
      <color theme="9" tint="-0.499984740745262"/>
      <name val="Arial"/>
      <family val="2"/>
    </font>
    <font>
      <b/>
      <sz val="14"/>
      <color theme="9" tint="-0.499984740745262"/>
      <name val="Arial"/>
      <family val="2"/>
    </font>
    <font>
      <sz val="10"/>
      <color rgb="FFFF0000"/>
      <name val="Arial"/>
      <family val="2"/>
    </font>
    <font>
      <sz val="10"/>
      <color rgb="FF002060"/>
      <name val="Arial"/>
      <family val="2"/>
    </font>
    <font>
      <sz val="9"/>
      <color rgb="FF002060"/>
      <name val="Arial"/>
      <family val="2"/>
    </font>
    <font>
      <sz val="10"/>
      <color rgb="FF002060"/>
      <name val="Calibri"/>
      <family val="2"/>
    </font>
    <font>
      <b/>
      <sz val="11"/>
      <color rgb="FF002060"/>
      <name val="Arial"/>
      <family val="2"/>
    </font>
    <font>
      <b/>
      <sz val="10"/>
      <color indexed="8"/>
      <name val="Arial"/>
      <family val="2"/>
    </font>
    <font>
      <b/>
      <sz val="16"/>
      <color theme="7" tint="-0.249977111117893"/>
      <name val="Arial"/>
      <family val="2"/>
    </font>
    <font>
      <b/>
      <sz val="16"/>
      <color theme="5" tint="-0.249977111117893"/>
      <name val="Arial"/>
      <family val="2"/>
    </font>
    <font>
      <sz val="10"/>
      <color rgb="FF000000"/>
      <name val="Arial1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Arial"/>
      <family val="2"/>
    </font>
    <font>
      <b/>
      <sz val="18"/>
      <color rgb="FF000000"/>
      <name val="Calibri"/>
      <family val="2"/>
    </font>
    <font>
      <b/>
      <sz val="10"/>
      <color rgb="FF000000"/>
      <name val="Arial1"/>
    </font>
    <font>
      <b/>
      <sz val="16"/>
      <color rgb="FF000000"/>
      <name val="Arial1"/>
    </font>
    <font>
      <b/>
      <sz val="14"/>
      <color rgb="FF00B050"/>
      <name val="Arial1"/>
    </font>
    <font>
      <b/>
      <sz val="14"/>
      <color theme="7" tint="0.39997558519241921"/>
      <name val="Arial1"/>
    </font>
    <font>
      <b/>
      <sz val="14"/>
      <color theme="5" tint="0.39997558519241921"/>
      <name val="Arial1"/>
    </font>
    <font>
      <b/>
      <sz val="14"/>
      <color theme="5" tint="-0.249977111117893"/>
      <name val="Arial1"/>
    </font>
    <font>
      <sz val="12"/>
      <color theme="0"/>
      <name val="Calibri"/>
      <family val="2"/>
    </font>
    <font>
      <sz val="10"/>
      <color theme="0"/>
      <name val="Calibri"/>
      <family val="2"/>
    </font>
    <font>
      <sz val="10"/>
      <color theme="0"/>
      <name val="Arial1"/>
    </font>
    <font>
      <sz val="11"/>
      <color theme="0"/>
      <name val="Arial"/>
      <family val="2"/>
    </font>
    <font>
      <sz val="12"/>
      <name val="Calibri"/>
      <family val="2"/>
    </font>
    <font>
      <b/>
      <sz val="12"/>
      <name val="Calibri"/>
      <family val="2"/>
    </font>
    <font>
      <sz val="12"/>
      <color rgb="FF000000"/>
      <name val="Calibri"/>
    </font>
    <font>
      <sz val="10"/>
      <name val="Arial"/>
      <family val="2"/>
    </font>
    <font>
      <sz val="10"/>
      <color rgb="FF000000"/>
      <name val="Calibri"/>
      <family val="2"/>
      <scheme val="minor"/>
    </font>
    <font>
      <b/>
      <sz val="20"/>
      <name val="Calibri"/>
      <family val="2"/>
      <scheme val="minor"/>
    </font>
    <font>
      <sz val="9"/>
      <name val="Arial"/>
      <family val="2"/>
    </font>
    <font>
      <sz val="9"/>
      <color theme="2" tint="-0.499984740745262"/>
      <name val="Arial"/>
      <family val="2"/>
    </font>
    <font>
      <b/>
      <sz val="14"/>
      <name val="Arial"/>
      <family val="2"/>
    </font>
    <font>
      <b/>
      <vertAlign val="superscript"/>
      <sz val="14"/>
      <name val="Arial"/>
      <family val="2"/>
    </font>
    <font>
      <sz val="11"/>
      <name val="Arial"/>
      <family val="2"/>
    </font>
    <font>
      <sz val="8"/>
      <name val="Arial"/>
      <family val="2"/>
    </font>
    <font>
      <sz val="11"/>
      <color rgb="FFFF3333"/>
      <name val="Calibri"/>
      <family val="2"/>
    </font>
    <font>
      <sz val="11"/>
      <color rgb="FF000000"/>
      <name val="Arial1"/>
    </font>
    <font>
      <b/>
      <sz val="11"/>
      <color rgb="FF000000"/>
      <name val="Arial1"/>
    </font>
    <font>
      <sz val="12"/>
      <color theme="1"/>
      <name val="Calibri"/>
      <family val="2"/>
      <scheme val="minor"/>
    </font>
    <font>
      <sz val="12"/>
      <color theme="2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2" tint="-0.499984740745262"/>
      <name val="Calibri"/>
      <family val="2"/>
      <scheme val="minor"/>
    </font>
    <font>
      <sz val="10"/>
      <name val="Calibri"/>
      <family val="2"/>
      <scheme val="minor"/>
    </font>
    <font>
      <i/>
      <sz val="9"/>
      <color theme="2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indexed="8"/>
      <name val="Arial"/>
      <family val="2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8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43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42"/>
      </patternFill>
    </fill>
    <fill>
      <patternFill patternType="solid">
        <fgColor indexed="53"/>
        <bgColor indexed="5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0B4"/>
        <bgColor rgb="FFC6E0B4"/>
      </patternFill>
    </fill>
    <fill>
      <patternFill patternType="solid">
        <fgColor rgb="FFF8CBAD"/>
        <bgColor rgb="FFF8CBAD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rgb="FFA9D08E"/>
      </patternFill>
    </fill>
    <fill>
      <patternFill patternType="solid">
        <fgColor theme="7" tint="0.59999389629810485"/>
        <bgColor rgb="FFA9D08E"/>
      </patternFill>
    </fill>
    <fill>
      <patternFill patternType="solid">
        <fgColor theme="8" tint="0.59999389629810485"/>
        <bgColor rgb="FFFFF2CC"/>
      </patternFill>
    </fill>
    <fill>
      <patternFill patternType="solid">
        <fgColor theme="8" tint="0.39997558519241921"/>
        <bgColor rgb="FFFFE699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874BA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16">
    <border>
      <left/>
      <right/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ck">
        <color theme="9" tint="-0.249977111117893"/>
      </right>
      <top/>
      <bottom/>
      <diagonal/>
    </border>
    <border>
      <left style="thick">
        <color theme="9" tint="-0.249977111117893"/>
      </left>
      <right/>
      <top/>
      <bottom style="thick">
        <color theme="9" tint="-0.249977111117893"/>
      </bottom>
      <diagonal/>
    </border>
    <border>
      <left/>
      <right/>
      <top/>
      <bottom style="thick">
        <color theme="9" tint="-0.249977111117893"/>
      </bottom>
      <diagonal/>
    </border>
    <border>
      <left/>
      <right/>
      <top style="thick">
        <color theme="9" tint="-0.249977111117893"/>
      </top>
      <bottom style="thick">
        <color theme="9" tint="-0.249977111117893"/>
      </bottom>
      <diagonal/>
    </border>
    <border>
      <left/>
      <right style="thick">
        <color theme="9" tint="-0.249977111117893"/>
      </right>
      <top/>
      <bottom style="thick">
        <color theme="9" tint="-0.249977111117893"/>
      </bottom>
      <diagonal/>
    </border>
    <border>
      <left/>
      <right style="thick">
        <color theme="9" tint="-0.249977111117893"/>
      </right>
      <top style="thick">
        <color theme="9" tint="-0.249977111117893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/>
      <diagonal/>
    </border>
    <border>
      <left style="medium">
        <color theme="9" tint="-0.249977111117893"/>
      </left>
      <right style="medium">
        <color theme="9" tint="-0.249977111117893"/>
      </right>
      <top/>
      <bottom/>
      <diagonal/>
    </border>
    <border>
      <left style="medium">
        <color theme="9" tint="-0.249977111117893"/>
      </left>
      <right style="medium">
        <color theme="9" tint="-0.249977111117893"/>
      </right>
      <top/>
      <bottom style="medium">
        <color theme="9" tint="-0.249977111117893"/>
      </bottom>
      <diagonal/>
    </border>
    <border>
      <left/>
      <right style="thick">
        <color theme="7" tint="0.39997558519241921"/>
      </right>
      <top/>
      <bottom/>
      <diagonal/>
    </border>
    <border>
      <left/>
      <right style="hair">
        <color indexed="8"/>
      </right>
      <top/>
      <bottom style="thick">
        <color theme="7" tint="0.39997558519241921"/>
      </bottom>
      <diagonal/>
    </border>
    <border>
      <left/>
      <right style="thick">
        <color theme="7" tint="0.39997558519241921"/>
      </right>
      <top style="thick">
        <color theme="7" tint="0.39997558519241921"/>
      </top>
      <bottom/>
      <diagonal/>
    </border>
    <border>
      <left/>
      <right/>
      <top style="thick">
        <color theme="7" tint="0.39997558519241921"/>
      </top>
      <bottom/>
      <diagonal/>
    </border>
    <border>
      <left style="thick">
        <color theme="7" tint="0.39997558519241921"/>
      </left>
      <right/>
      <top/>
      <bottom style="thick">
        <color theme="7" tint="0.39997558519241921"/>
      </bottom>
      <diagonal/>
    </border>
    <border>
      <left style="hair">
        <color indexed="8"/>
      </left>
      <right style="thick">
        <color theme="7" tint="0.39997558519241921"/>
      </right>
      <top style="hair">
        <color indexed="8"/>
      </top>
      <bottom style="thick">
        <color theme="7" tint="0.39997558519241921"/>
      </bottom>
      <diagonal/>
    </border>
    <border>
      <left style="hair">
        <color indexed="8"/>
      </left>
      <right/>
      <top/>
      <bottom style="thick">
        <color theme="7" tint="0.39997558519241921"/>
      </bottom>
      <diagonal/>
    </border>
    <border>
      <left/>
      <right/>
      <top/>
      <bottom style="thick">
        <color theme="7" tint="0.39997558519241921"/>
      </bottom>
      <diagonal/>
    </border>
    <border>
      <left style="thick">
        <color theme="7" tint="0.39997558519241921"/>
      </left>
      <right/>
      <top style="thick">
        <color theme="7" tint="0.39997558519241921"/>
      </top>
      <bottom style="thick">
        <color theme="7" tint="0.39997558519241921"/>
      </bottom>
      <diagonal/>
    </border>
    <border>
      <left/>
      <right/>
      <top style="thick">
        <color theme="7" tint="0.39997558519241921"/>
      </top>
      <bottom style="thick">
        <color theme="7" tint="0.39997558519241921"/>
      </bottom>
      <diagonal/>
    </border>
    <border>
      <left style="hair">
        <color indexed="8"/>
      </left>
      <right style="thick">
        <color theme="5" tint="-0.249977111117893"/>
      </right>
      <top style="hair">
        <color indexed="8"/>
      </top>
      <bottom style="thick">
        <color theme="5" tint="-0.249977111117893"/>
      </bottom>
      <diagonal/>
    </border>
    <border>
      <left/>
      <right style="thick">
        <color theme="5" tint="-0.249977111117893"/>
      </right>
      <top/>
      <bottom style="hair">
        <color indexed="8"/>
      </bottom>
      <diagonal/>
    </border>
    <border>
      <left/>
      <right style="thick">
        <color theme="5" tint="-0.249977111117893"/>
      </right>
      <top/>
      <bottom/>
      <diagonal/>
    </border>
    <border>
      <left/>
      <right style="hair">
        <color indexed="8"/>
      </right>
      <top/>
      <bottom style="thick">
        <color theme="5" tint="-0.249977111117893"/>
      </bottom>
      <diagonal/>
    </border>
    <border>
      <left/>
      <right style="thick">
        <color theme="5" tint="-0.249977111117893"/>
      </right>
      <top style="thick">
        <color theme="5" tint="-0.249977111117893"/>
      </top>
      <bottom/>
      <diagonal/>
    </border>
    <border>
      <left style="thick">
        <color theme="5" tint="-0.249977111117893"/>
      </left>
      <right style="hair">
        <color indexed="8"/>
      </right>
      <top/>
      <bottom style="thick">
        <color theme="5" tint="-0.249977111117893"/>
      </bottom>
      <diagonal/>
    </border>
    <border>
      <left style="hair">
        <color indexed="8"/>
      </left>
      <right/>
      <top/>
      <bottom style="thick">
        <color theme="5" tint="-0.249977111117893"/>
      </bottom>
      <diagonal/>
    </border>
    <border>
      <left style="thick">
        <color theme="5" tint="-0.249977111117893"/>
      </left>
      <right/>
      <top/>
      <bottom style="thick">
        <color theme="5" tint="-0.249977111117893"/>
      </bottom>
      <diagonal/>
    </border>
    <border>
      <left/>
      <right/>
      <top/>
      <bottom style="thick">
        <color theme="5" tint="-0.249977111117893"/>
      </bottom>
      <diagonal/>
    </border>
    <border>
      <left/>
      <right/>
      <top style="thick">
        <color theme="5" tint="-0.249977111117893"/>
      </top>
      <bottom style="thick">
        <color theme="5" tint="-0.249977111117893"/>
      </bottom>
      <diagonal/>
    </border>
    <border>
      <left style="thick">
        <color theme="7" tint="0.39997558519241921"/>
      </left>
      <right style="hair">
        <color indexed="8"/>
      </right>
      <top/>
      <bottom style="thick">
        <color theme="7" tint="0.3999755851924192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rgb="FF00B050"/>
      </top>
      <bottom style="medium">
        <color rgb="FF000000"/>
      </bottom>
      <diagonal/>
    </border>
    <border>
      <left/>
      <right/>
      <top/>
      <bottom style="thin">
        <color rgb="FF00B050"/>
      </bottom>
      <diagonal/>
    </border>
    <border>
      <left style="thin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indexed="64"/>
      </right>
      <top style="thin">
        <color rgb="FF00B050"/>
      </top>
      <bottom/>
      <diagonal/>
    </border>
    <border>
      <left/>
      <right/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/>
      <right style="medium">
        <color rgb="FF00B050"/>
      </right>
      <top/>
      <bottom/>
      <diagonal/>
    </border>
    <border>
      <left style="medium">
        <color rgb="FF00B050"/>
      </left>
      <right/>
      <top style="thin">
        <color rgb="FF00B050"/>
      </top>
      <bottom/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 style="thin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thin">
        <color rgb="FF00B050"/>
      </right>
      <top/>
      <bottom style="thin">
        <color rgb="FF00B050"/>
      </bottom>
      <diagonal/>
    </border>
    <border>
      <left style="medium">
        <color rgb="FF00B050"/>
      </left>
      <right/>
      <top/>
      <bottom/>
      <diagonal/>
    </border>
    <border>
      <left style="medium">
        <color rgb="FF00B050"/>
      </left>
      <right style="thin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thin">
        <color rgb="FF00B050"/>
      </left>
      <right style="medium">
        <color rgb="FF00B050"/>
      </right>
      <top/>
      <bottom style="thin">
        <color rgb="FF00B05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92D050"/>
      </left>
      <right style="thin">
        <color rgb="FF92D050"/>
      </right>
      <top/>
      <bottom style="thin">
        <color rgb="FF92D050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thin">
        <color rgb="FF92D050"/>
      </bottom>
      <diagonal/>
    </border>
    <border>
      <left style="thin">
        <color rgb="FF92D050"/>
      </left>
      <right style="medium">
        <color indexed="64"/>
      </right>
      <top style="thin">
        <color rgb="FF92D050"/>
      </top>
      <bottom style="thin">
        <color rgb="FF92D050"/>
      </bottom>
      <diagonal/>
    </border>
    <border>
      <left style="medium">
        <color indexed="64"/>
      </left>
      <right style="thin">
        <color rgb="FF92D050"/>
      </right>
      <top style="thin">
        <color rgb="FF92D050"/>
      </top>
      <bottom style="medium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 style="medium">
        <color indexed="64"/>
      </bottom>
      <diagonal/>
    </border>
    <border>
      <left style="medium">
        <color indexed="64"/>
      </left>
      <right style="thin">
        <color rgb="FF92D050"/>
      </right>
      <top/>
      <bottom/>
      <diagonal/>
    </border>
    <border>
      <left style="thin">
        <color rgb="FF92D050"/>
      </left>
      <right style="medium">
        <color indexed="64"/>
      </right>
      <top style="thin">
        <color rgb="FF92D05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medium">
        <color theme="1"/>
      </right>
      <top style="thin">
        <color theme="0"/>
      </top>
      <bottom style="medium">
        <color theme="1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92D050"/>
      </left>
      <right style="thin">
        <color rgb="FF92D050"/>
      </right>
      <top style="thin">
        <color rgb="FF92D05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92D050"/>
      </right>
      <top style="thin">
        <color rgb="FF92D050"/>
      </top>
      <bottom style="thin">
        <color rgb="FF92D050"/>
      </bottom>
      <diagonal/>
    </border>
    <border>
      <left/>
      <right/>
      <top/>
      <bottom style="thin">
        <color rgb="FF92D050"/>
      </bottom>
      <diagonal/>
    </border>
    <border>
      <left style="thin">
        <color rgb="FF92D050"/>
      </left>
      <right style="medium">
        <color indexed="64"/>
      </right>
      <top/>
      <bottom style="thin">
        <color rgb="FF92D050"/>
      </bottom>
      <diagonal/>
    </border>
    <border>
      <left style="thin">
        <color rgb="FF92D050"/>
      </left>
      <right/>
      <top style="thin">
        <color rgb="FF92D050"/>
      </top>
      <bottom style="thin">
        <color rgb="FF92D050"/>
      </bottom>
      <diagonal/>
    </border>
    <border>
      <left style="medium">
        <color indexed="64"/>
      </left>
      <right style="thin">
        <color rgb="FF92D050"/>
      </right>
      <top style="medium">
        <color indexed="64"/>
      </top>
      <bottom/>
      <diagonal/>
    </border>
    <border>
      <left style="thin">
        <color rgb="FF92D050"/>
      </left>
      <right style="medium">
        <color indexed="64"/>
      </right>
      <top style="medium">
        <color indexed="64"/>
      </top>
      <bottom style="thin">
        <color rgb="FF92D050"/>
      </bottom>
      <diagonal/>
    </border>
    <border>
      <left style="thin">
        <color rgb="FF92D050"/>
      </left>
      <right style="medium">
        <color indexed="64"/>
      </right>
      <top style="thin">
        <color rgb="FF92D050"/>
      </top>
      <bottom style="medium">
        <color indexed="64"/>
      </bottom>
      <diagonal/>
    </border>
  </borders>
  <cellStyleXfs count="9">
    <xf numFmtId="0" fontId="0" fillId="0" borderId="0"/>
    <xf numFmtId="0" fontId="5" fillId="0" borderId="0" applyBorder="0" applyProtection="0"/>
    <xf numFmtId="0" fontId="7" fillId="0" borderId="0" applyBorder="0" applyProtection="0"/>
    <xf numFmtId="170" fontId="21" fillId="0" borderId="0" applyBorder="0" applyProtection="0"/>
    <xf numFmtId="0" fontId="25" fillId="0" borderId="0"/>
    <xf numFmtId="9" fontId="25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52" fillId="0" borderId="0"/>
    <xf numFmtId="44" fontId="52" fillId="0" borderId="0" applyFont="0" applyFill="0" applyBorder="0" applyAlignment="0" applyProtection="0"/>
  </cellStyleXfs>
  <cellXfs count="501">
    <xf numFmtId="0" fontId="0" fillId="0" borderId="0" xfId="0"/>
    <xf numFmtId="0" fontId="1" fillId="0" borderId="0" xfId="0" applyFont="1"/>
    <xf numFmtId="10" fontId="2" fillId="0" borderId="0" xfId="0" applyNumberFormat="1" applyFont="1"/>
    <xf numFmtId="10" fontId="3" fillId="0" borderId="0" xfId="0" applyNumberFormat="1" applyFont="1"/>
    <xf numFmtId="10" fontId="0" fillId="2" borderId="0" xfId="0" applyNumberFormat="1" applyFill="1"/>
    <xf numFmtId="0" fontId="4" fillId="0" borderId="1" xfId="0" applyFont="1" applyBorder="1" applyAlignment="1">
      <alignment horizontal="center"/>
    </xf>
    <xf numFmtId="10" fontId="0" fillId="0" borderId="0" xfId="0" applyNumberFormat="1"/>
    <xf numFmtId="0" fontId="0" fillId="3" borderId="2" xfId="0" applyNumberFormat="1" applyFill="1" applyBorder="1"/>
    <xf numFmtId="10" fontId="0" fillId="4" borderId="0" xfId="0" applyNumberFormat="1" applyFont="1" applyFill="1"/>
    <xf numFmtId="10" fontId="0" fillId="5" borderId="0" xfId="0" applyNumberFormat="1" applyFont="1" applyFill="1"/>
    <xf numFmtId="0" fontId="5" fillId="3" borderId="2" xfId="1" applyFont="1" applyFill="1" applyBorder="1" applyAlignment="1">
      <alignment horizontal="center" vertical="center"/>
    </xf>
    <xf numFmtId="165" fontId="0" fillId="0" borderId="0" xfId="0" applyNumberFormat="1"/>
    <xf numFmtId="0" fontId="5" fillId="3" borderId="2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/>
    <xf numFmtId="0" fontId="4" fillId="0" borderId="1" xfId="0" applyFont="1" applyBorder="1"/>
    <xf numFmtId="0" fontId="6" fillId="0" borderId="2" xfId="1" applyFont="1" applyFill="1" applyBorder="1" applyAlignment="1"/>
    <xf numFmtId="0" fontId="8" fillId="0" borderId="2" xfId="2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0" fillId="0" borderId="0" xfId="0" applyBorder="1"/>
    <xf numFmtId="0" fontId="0" fillId="0" borderId="3" xfId="0" applyBorder="1"/>
    <xf numFmtId="0" fontId="10" fillId="0" borderId="3" xfId="0" applyFont="1" applyBorder="1"/>
    <xf numFmtId="10" fontId="3" fillId="0" borderId="0" xfId="0" applyNumberFormat="1" applyFont="1" applyBorder="1" applyAlignment="1">
      <alignment wrapText="1"/>
    </xf>
    <xf numFmtId="9" fontId="0" fillId="0" borderId="3" xfId="0" applyNumberFormat="1" applyBorder="1" applyAlignment="1">
      <alignment horizontal="center" vertical="center"/>
    </xf>
    <xf numFmtId="9" fontId="0" fillId="0" borderId="0" xfId="0" applyNumberFormat="1"/>
    <xf numFmtId="9" fontId="0" fillId="0" borderId="0" xfId="0" applyNumberFormat="1" applyAlignment="1">
      <alignment horizontal="center"/>
    </xf>
    <xf numFmtId="9" fontId="0" fillId="0" borderId="8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11" fillId="0" borderId="3" xfId="0" applyFont="1" applyBorder="1" applyAlignment="1">
      <alignment horizontal="center"/>
    </xf>
    <xf numFmtId="0" fontId="0" fillId="0" borderId="2" xfId="0" applyNumberFormat="1" applyFill="1" applyBorder="1"/>
    <xf numFmtId="0" fontId="0" fillId="0" borderId="0" xfId="0" applyBorder="1" applyAlignment="1">
      <alignment horizontal="center"/>
    </xf>
    <xf numFmtId="0" fontId="0" fillId="6" borderId="5" xfId="0" applyFill="1" applyBorder="1" applyAlignment="1">
      <alignment horizontal="right"/>
    </xf>
    <xf numFmtId="0" fontId="3" fillId="6" borderId="5" xfId="0" applyFont="1" applyFill="1" applyBorder="1" applyAlignment="1">
      <alignment horizontal="center"/>
    </xf>
    <xf numFmtId="0" fontId="0" fillId="6" borderId="4" xfId="0" applyFill="1" applyBorder="1" applyAlignment="1">
      <alignment horizontal="right"/>
    </xf>
    <xf numFmtId="0" fontId="11" fillId="7" borderId="7" xfId="0" applyFont="1" applyFill="1" applyBorder="1" applyAlignment="1">
      <alignment horizontal="center"/>
    </xf>
    <xf numFmtId="9" fontId="0" fillId="0" borderId="5" xfId="0" applyNumberFormat="1" applyBorder="1" applyAlignment="1">
      <alignment horizontal="center"/>
    </xf>
    <xf numFmtId="9" fontId="0" fillId="0" borderId="6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9" fontId="0" fillId="2" borderId="0" xfId="0" applyNumberFormat="1" applyFill="1"/>
    <xf numFmtId="166" fontId="0" fillId="0" borderId="10" xfId="0" applyNumberFormat="1" applyBorder="1"/>
    <xf numFmtId="166" fontId="0" fillId="0" borderId="11" xfId="0" applyNumberFormat="1" applyBorder="1"/>
    <xf numFmtId="0" fontId="12" fillId="0" borderId="0" xfId="0" applyFont="1"/>
    <xf numFmtId="9" fontId="0" fillId="0" borderId="10" xfId="0" applyNumberFormat="1" applyBorder="1"/>
    <xf numFmtId="9" fontId="0" fillId="0" borderId="11" xfId="0" applyNumberFormat="1" applyBorder="1"/>
    <xf numFmtId="0" fontId="0" fillId="0" borderId="0" xfId="0" applyNumberFormat="1" applyFill="1" applyBorder="1"/>
    <xf numFmtId="0" fontId="0" fillId="0" borderId="0" xfId="0" applyFill="1"/>
    <xf numFmtId="9" fontId="0" fillId="0" borderId="0" xfId="0" applyNumberFormat="1" applyFill="1" applyBorder="1"/>
    <xf numFmtId="0" fontId="9" fillId="0" borderId="0" xfId="0" applyFont="1" applyAlignment="1">
      <alignment horizontal="left" vertical="center"/>
    </xf>
    <xf numFmtId="10" fontId="13" fillId="0" borderId="0" xfId="0" applyNumberFormat="1" applyFont="1"/>
    <xf numFmtId="0" fontId="3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14" fillId="0" borderId="2" xfId="0" applyNumberFormat="1" applyFont="1" applyFill="1" applyBorder="1" applyAlignment="1">
      <alignment horizontal="center"/>
    </xf>
    <xf numFmtId="0" fontId="16" fillId="0" borderId="0" xfId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/>
    </xf>
    <xf numFmtId="0" fontId="16" fillId="0" borderId="0" xfId="1" applyFont="1" applyFill="1" applyAlignment="1">
      <alignment horizontal="center" vertical="center"/>
    </xf>
    <xf numFmtId="0" fontId="16" fillId="0" borderId="2" xfId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0" fillId="8" borderId="13" xfId="0" applyFill="1" applyBorder="1" applyAlignment="1">
      <alignment horizontal="right"/>
    </xf>
    <xf numFmtId="0" fontId="0" fillId="0" borderId="12" xfId="0" applyBorder="1"/>
    <xf numFmtId="9" fontId="0" fillId="0" borderId="14" xfId="0" applyNumberForma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0" fontId="10" fillId="0" borderId="12" xfId="0" applyFont="1" applyBorder="1"/>
    <xf numFmtId="9" fontId="0" fillId="0" borderId="12" xfId="0" applyNumberFormat="1" applyBorder="1" applyAlignment="1">
      <alignment horizontal="center" vertical="center"/>
    </xf>
    <xf numFmtId="0" fontId="18" fillId="8" borderId="18" xfId="0" applyFont="1" applyFill="1" applyBorder="1" applyAlignment="1">
      <alignment horizontal="center"/>
    </xf>
    <xf numFmtId="9" fontId="0" fillId="0" borderId="19" xfId="0" applyNumberFormat="1" applyBorder="1" applyAlignment="1">
      <alignment horizontal="center"/>
    </xf>
    <xf numFmtId="9" fontId="0" fillId="0" borderId="21" xfId="0" applyNumberFormat="1" applyBorder="1" applyAlignment="1">
      <alignment horizontal="center"/>
    </xf>
    <xf numFmtId="0" fontId="19" fillId="8" borderId="17" xfId="0" applyFont="1" applyFill="1" applyBorder="1" applyAlignment="1">
      <alignment horizontal="center"/>
    </xf>
    <xf numFmtId="0" fontId="20" fillId="9" borderId="22" xfId="0" applyFont="1" applyFill="1" applyBorder="1" applyAlignment="1">
      <alignment horizontal="center"/>
    </xf>
    <xf numFmtId="0" fontId="0" fillId="0" borderId="24" xfId="0" applyBorder="1"/>
    <xf numFmtId="0" fontId="10" fillId="0" borderId="23" xfId="0" applyFont="1" applyBorder="1"/>
    <xf numFmtId="0" fontId="0" fillId="9" borderId="25" xfId="0" applyFill="1" applyBorder="1" applyAlignment="1">
      <alignment horizontal="right"/>
    </xf>
    <xf numFmtId="9" fontId="0" fillId="0" borderId="26" xfId="0" applyNumberFormat="1" applyBorder="1" applyAlignment="1">
      <alignment horizontal="center" vertical="center"/>
    </xf>
    <xf numFmtId="0" fontId="0" fillId="9" borderId="27" xfId="0" applyFill="1" applyBorder="1" applyAlignment="1">
      <alignment horizontal="right"/>
    </xf>
    <xf numFmtId="0" fontId="18" fillId="9" borderId="28" xfId="0" applyFont="1" applyFill="1" applyBorder="1" applyAlignment="1">
      <alignment horizontal="center"/>
    </xf>
    <xf numFmtId="9" fontId="0" fillId="0" borderId="26" xfId="0" applyNumberFormat="1" applyBorder="1" applyAlignment="1">
      <alignment horizontal="center"/>
    </xf>
    <xf numFmtId="9" fontId="0" fillId="0" borderId="30" xfId="0" applyNumberFormat="1" applyBorder="1" applyAlignment="1">
      <alignment horizontal="center"/>
    </xf>
    <xf numFmtId="9" fontId="0" fillId="0" borderId="31" xfId="0" applyNumberFormat="1" applyBorder="1" applyAlignment="1">
      <alignment horizontal="center"/>
    </xf>
    <xf numFmtId="9" fontId="0" fillId="0" borderId="24" xfId="0" applyNumberFormat="1" applyBorder="1" applyAlignment="1">
      <alignment horizontal="center"/>
    </xf>
    <xf numFmtId="169" fontId="0" fillId="0" borderId="0" xfId="0" applyNumberFormat="1"/>
    <xf numFmtId="0" fontId="0" fillId="8" borderId="32" xfId="0" applyFill="1" applyBorder="1" applyAlignment="1">
      <alignment horizontal="right"/>
    </xf>
    <xf numFmtId="170" fontId="22" fillId="0" borderId="0" xfId="3" applyFont="1" applyFill="1" applyAlignment="1" applyProtection="1"/>
    <xf numFmtId="170" fontId="23" fillId="0" borderId="0" xfId="3" applyFont="1" applyFill="1" applyAlignment="1" applyProtection="1"/>
    <xf numFmtId="170" fontId="24" fillId="0" borderId="0" xfId="3" applyFont="1" applyFill="1" applyAlignment="1" applyProtection="1"/>
    <xf numFmtId="170" fontId="21" fillId="0" borderId="0" xfId="3" applyFont="1" applyFill="1" applyAlignment="1" applyProtection="1"/>
    <xf numFmtId="0" fontId="25" fillId="0" borderId="0" xfId="4"/>
    <xf numFmtId="170" fontId="24" fillId="0" borderId="0" xfId="3" applyFont="1" applyFill="1" applyAlignment="1" applyProtection="1">
      <alignment horizontal="center"/>
    </xf>
    <xf numFmtId="170" fontId="22" fillId="0" borderId="36" xfId="3" applyFont="1" applyFill="1" applyBorder="1" applyAlignment="1" applyProtection="1"/>
    <xf numFmtId="170" fontId="22" fillId="0" borderId="0" xfId="3" applyFont="1" applyFill="1" applyBorder="1" applyAlignment="1" applyProtection="1"/>
    <xf numFmtId="170" fontId="22" fillId="0" borderId="37" xfId="3" applyFont="1" applyFill="1" applyBorder="1" applyAlignment="1" applyProtection="1"/>
    <xf numFmtId="170" fontId="21" fillId="0" borderId="36" xfId="3" applyFont="1" applyFill="1" applyBorder="1" applyAlignment="1" applyProtection="1"/>
    <xf numFmtId="170" fontId="21" fillId="0" borderId="0" xfId="3" applyFont="1" applyFill="1" applyBorder="1" applyAlignment="1" applyProtection="1"/>
    <xf numFmtId="170" fontId="21" fillId="0" borderId="37" xfId="3" applyFont="1" applyFill="1" applyBorder="1" applyAlignment="1" applyProtection="1"/>
    <xf numFmtId="9" fontId="22" fillId="11" borderId="0" xfId="3" applyNumberFormat="1" applyFont="1" applyFill="1" applyAlignment="1" applyProtection="1">
      <alignment horizontal="right"/>
    </xf>
    <xf numFmtId="170" fontId="22" fillId="10" borderId="0" xfId="3" applyFont="1" applyFill="1" applyAlignment="1" applyProtection="1"/>
    <xf numFmtId="170" fontId="22" fillId="0" borderId="0" xfId="3" applyFont="1" applyFill="1" applyAlignment="1" applyProtection="1">
      <alignment horizontal="right"/>
    </xf>
    <xf numFmtId="172" fontId="22" fillId="0" borderId="0" xfId="3" applyNumberFormat="1" applyFont="1" applyFill="1" applyAlignment="1" applyProtection="1">
      <alignment horizontal="right"/>
    </xf>
    <xf numFmtId="170" fontId="28" fillId="0" borderId="33" xfId="3" applyFont="1" applyFill="1" applyBorder="1" applyAlignment="1" applyProtection="1">
      <alignment wrapText="1"/>
    </xf>
    <xf numFmtId="170" fontId="21" fillId="0" borderId="34" xfId="3" applyFont="1" applyFill="1" applyBorder="1" applyAlignment="1" applyProtection="1">
      <alignment horizontal="center" wrapText="1"/>
    </xf>
    <xf numFmtId="170" fontId="21" fillId="0" borderId="34" xfId="3" applyFont="1" applyFill="1" applyBorder="1" applyAlignment="1" applyProtection="1">
      <alignment horizontal="center" vertical="top"/>
    </xf>
    <xf numFmtId="0" fontId="22" fillId="0" borderId="36" xfId="4" applyFont="1" applyBorder="1" applyAlignment="1">
      <alignment horizontal="justify" vertical="center"/>
    </xf>
    <xf numFmtId="9" fontId="21" fillId="0" borderId="0" xfId="3" applyNumberFormat="1" applyFont="1" applyFill="1" applyBorder="1" applyAlignment="1" applyProtection="1">
      <alignment horizontal="center" vertical="center"/>
    </xf>
    <xf numFmtId="170" fontId="21" fillId="0" borderId="39" xfId="3" applyFont="1" applyFill="1" applyBorder="1" applyAlignment="1" applyProtection="1"/>
    <xf numFmtId="170" fontId="21" fillId="0" borderId="0" xfId="3" applyFont="1" applyFill="1" applyBorder="1" applyAlignment="1" applyProtection="1">
      <alignment horizontal="center" vertical="top"/>
    </xf>
    <xf numFmtId="170" fontId="33" fillId="0" borderId="0" xfId="3" applyFont="1" applyFill="1" applyAlignment="1" applyProtection="1"/>
    <xf numFmtId="170" fontId="35" fillId="0" borderId="0" xfId="3" applyFont="1" applyFill="1" applyAlignment="1" applyProtection="1"/>
    <xf numFmtId="170" fontId="34" fillId="0" borderId="0" xfId="3" applyFont="1" applyFill="1" applyAlignment="1" applyProtection="1">
      <alignment horizontal="right"/>
    </xf>
    <xf numFmtId="171" fontId="33" fillId="0" borderId="0" xfId="3" applyNumberFormat="1" applyFont="1" applyFill="1" applyAlignment="1" applyProtection="1">
      <alignment horizontal="right"/>
    </xf>
    <xf numFmtId="0" fontId="36" fillId="0" borderId="0" xfId="4" applyFont="1" applyFill="1"/>
    <xf numFmtId="170" fontId="37" fillId="12" borderId="36" xfId="3" applyFont="1" applyFill="1" applyBorder="1" applyAlignment="1" applyProtection="1">
      <alignment horizontal="right"/>
    </xf>
    <xf numFmtId="170" fontId="37" fillId="12" borderId="0" xfId="3" applyFont="1" applyFill="1" applyBorder="1" applyAlignment="1" applyProtection="1"/>
    <xf numFmtId="170" fontId="37" fillId="12" borderId="37" xfId="3" applyFont="1" applyFill="1" applyBorder="1" applyAlignment="1" applyProtection="1"/>
    <xf numFmtId="170" fontId="37" fillId="12" borderId="38" xfId="3" applyFont="1" applyFill="1" applyBorder="1" applyAlignment="1" applyProtection="1">
      <alignment horizontal="right"/>
    </xf>
    <xf numFmtId="170" fontId="37" fillId="12" borderId="39" xfId="3" applyFont="1" applyFill="1" applyBorder="1" applyAlignment="1" applyProtection="1"/>
    <xf numFmtId="170" fontId="37" fillId="12" borderId="40" xfId="3" applyFont="1" applyFill="1" applyBorder="1" applyAlignment="1" applyProtection="1"/>
    <xf numFmtId="170" fontId="22" fillId="0" borderId="36" xfId="3" applyFont="1" applyFill="1" applyBorder="1" applyAlignment="1" applyProtection="1">
      <alignment horizontal="center"/>
    </xf>
    <xf numFmtId="170" fontId="22" fillId="0" borderId="0" xfId="3" applyFont="1" applyFill="1" applyBorder="1" applyAlignment="1" applyProtection="1">
      <alignment horizontal="center"/>
    </xf>
    <xf numFmtId="170" fontId="22" fillId="0" borderId="37" xfId="3" applyFont="1" applyFill="1" applyBorder="1" applyAlignment="1" applyProtection="1">
      <alignment horizontal="center"/>
    </xf>
    <xf numFmtId="170" fontId="22" fillId="0" borderId="36" xfId="3" applyFont="1" applyFill="1" applyBorder="1" applyAlignment="1" applyProtection="1">
      <alignment horizontal="center" vertical="center"/>
    </xf>
    <xf numFmtId="170" fontId="22" fillId="0" borderId="0" xfId="3" applyFont="1" applyFill="1" applyBorder="1" applyAlignment="1" applyProtection="1">
      <alignment horizontal="center" vertical="center"/>
    </xf>
    <xf numFmtId="170" fontId="22" fillId="0" borderId="37" xfId="3" applyFont="1" applyFill="1" applyBorder="1" applyAlignment="1" applyProtection="1">
      <alignment horizontal="center" vertical="center"/>
    </xf>
    <xf numFmtId="170" fontId="22" fillId="8" borderId="36" xfId="3" applyFont="1" applyFill="1" applyBorder="1" applyAlignment="1" applyProtection="1">
      <alignment horizontal="right"/>
    </xf>
    <xf numFmtId="170" fontId="22" fillId="8" borderId="0" xfId="3" applyFont="1" applyFill="1" applyBorder="1" applyAlignment="1" applyProtection="1"/>
    <xf numFmtId="170" fontId="22" fillId="8" borderId="37" xfId="3" applyFont="1" applyFill="1" applyBorder="1" applyAlignment="1" applyProtection="1"/>
    <xf numFmtId="170" fontId="22" fillId="8" borderId="38" xfId="3" applyFont="1" applyFill="1" applyBorder="1" applyAlignment="1" applyProtection="1">
      <alignment horizontal="right"/>
    </xf>
    <xf numFmtId="170" fontId="22" fillId="8" borderId="39" xfId="3" applyFont="1" applyFill="1" applyBorder="1" applyAlignment="1" applyProtection="1"/>
    <xf numFmtId="170" fontId="22" fillId="8" borderId="40" xfId="3" applyFont="1" applyFill="1" applyBorder="1" applyAlignment="1" applyProtection="1"/>
    <xf numFmtId="170" fontId="22" fillId="17" borderId="42" xfId="3" applyFont="1" applyFill="1" applyBorder="1" applyAlignment="1" applyProtection="1">
      <alignment horizontal="right"/>
    </xf>
    <xf numFmtId="171" fontId="22" fillId="17" borderId="0" xfId="3" applyNumberFormat="1" applyFont="1" applyFill="1" applyAlignment="1" applyProtection="1">
      <alignment horizontal="right"/>
    </xf>
    <xf numFmtId="170" fontId="22" fillId="17" borderId="0" xfId="3" applyFont="1" applyFill="1" applyAlignment="1" applyProtection="1">
      <alignment horizontal="right"/>
    </xf>
    <xf numFmtId="170" fontId="22" fillId="17" borderId="43" xfId="3" applyFont="1" applyFill="1" applyBorder="1" applyAlignment="1" applyProtection="1">
      <alignment horizontal="right"/>
    </xf>
    <xf numFmtId="0" fontId="39" fillId="0" borderId="0" xfId="0" applyFont="1" applyAlignment="1">
      <alignment horizontal="right"/>
    </xf>
    <xf numFmtId="2" fontId="22" fillId="11" borderId="0" xfId="3" applyNumberFormat="1" applyFont="1" applyFill="1" applyAlignment="1" applyProtection="1">
      <alignment horizontal="right"/>
    </xf>
    <xf numFmtId="0" fontId="39" fillId="8" borderId="0" xfId="0" applyFont="1" applyFill="1" applyAlignment="1">
      <alignment horizontal="right"/>
    </xf>
    <xf numFmtId="0" fontId="41" fillId="0" borderId="0" xfId="0" applyFont="1"/>
    <xf numFmtId="0" fontId="42" fillId="0" borderId="0" xfId="0" applyFont="1"/>
    <xf numFmtId="0" fontId="0" fillId="0" borderId="33" xfId="0" applyBorder="1"/>
    <xf numFmtId="0" fontId="43" fillId="0" borderId="34" xfId="0" applyFont="1" applyBorder="1" applyAlignment="1">
      <alignment vertical="top" wrapText="1"/>
    </xf>
    <xf numFmtId="0" fontId="10" fillId="0" borderId="36" xfId="0" applyFont="1" applyBorder="1" applyAlignment="1">
      <alignment vertical="top" wrapText="1"/>
    </xf>
    <xf numFmtId="0" fontId="0" fillId="0" borderId="39" xfId="0" applyBorder="1"/>
    <xf numFmtId="0" fontId="0" fillId="0" borderId="50" xfId="0" applyBorder="1"/>
    <xf numFmtId="0" fontId="0" fillId="0" borderId="51" xfId="0" applyBorder="1"/>
    <xf numFmtId="0" fontId="44" fillId="0" borderId="0" xfId="0" applyFont="1" applyBorder="1" applyAlignment="1">
      <alignment horizontal="left" vertical="top"/>
    </xf>
    <xf numFmtId="0" fontId="3" fillId="6" borderId="50" xfId="0" applyFont="1" applyFill="1" applyBorder="1" applyAlignment="1">
      <alignment horizontal="center" vertical="center"/>
    </xf>
    <xf numFmtId="0" fontId="0" fillId="0" borderId="3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9" fillId="0" borderId="0" xfId="0" applyFont="1"/>
    <xf numFmtId="10" fontId="0" fillId="0" borderId="0" xfId="6" applyNumberFormat="1" applyFont="1"/>
    <xf numFmtId="0" fontId="0" fillId="0" borderId="48" xfId="0" applyBorder="1"/>
    <xf numFmtId="0" fontId="0" fillId="0" borderId="36" xfId="0" applyBorder="1"/>
    <xf numFmtId="0" fontId="0" fillId="0" borderId="52" xfId="0" applyBorder="1"/>
    <xf numFmtId="0" fontId="0" fillId="0" borderId="37" xfId="0" applyBorder="1"/>
    <xf numFmtId="0" fontId="0" fillId="0" borderId="38" xfId="0" applyBorder="1"/>
    <xf numFmtId="0" fontId="0" fillId="0" borderId="40" xfId="0" applyBorder="1"/>
    <xf numFmtId="0" fontId="0" fillId="20" borderId="0" xfId="0" applyFill="1" applyBorder="1"/>
    <xf numFmtId="0" fontId="0" fillId="0" borderId="36" xfId="0" applyFill="1" applyBorder="1"/>
    <xf numFmtId="0" fontId="0" fillId="0" borderId="0" xfId="0" applyBorder="1" applyAlignment="1">
      <alignment horizontal="left" vertical="center" wrapText="1"/>
    </xf>
    <xf numFmtId="170" fontId="50" fillId="0" borderId="0" xfId="3" applyFont="1" applyFill="1" applyAlignment="1" applyProtection="1"/>
    <xf numFmtId="170" fontId="51" fillId="17" borderId="44" xfId="3" applyFont="1" applyFill="1" applyBorder="1" applyAlignment="1" applyProtection="1"/>
    <xf numFmtId="170" fontId="51" fillId="17" borderId="45" xfId="3" applyFont="1" applyFill="1" applyBorder="1" applyAlignment="1" applyProtection="1"/>
    <xf numFmtId="170" fontId="51" fillId="17" borderId="46" xfId="3" applyFont="1" applyFill="1" applyBorder="1" applyAlignment="1" applyProtection="1"/>
    <xf numFmtId="170" fontId="24" fillId="18" borderId="42" xfId="3" applyFont="1" applyFill="1" applyBorder="1" applyAlignment="1" applyProtection="1">
      <alignment horizontal="center"/>
    </xf>
    <xf numFmtId="170" fontId="24" fillId="18" borderId="0" xfId="3" applyFont="1" applyFill="1" applyAlignment="1" applyProtection="1">
      <alignment horizontal="center"/>
    </xf>
    <xf numFmtId="170" fontId="24" fillId="18" borderId="43" xfId="3" applyFont="1" applyFill="1" applyBorder="1" applyAlignment="1" applyProtection="1">
      <alignment horizontal="center"/>
    </xf>
    <xf numFmtId="170" fontId="34" fillId="0" borderId="53" xfId="3" applyFont="1" applyFill="1" applyBorder="1" applyAlignment="1" applyProtection="1">
      <alignment horizontal="right"/>
    </xf>
    <xf numFmtId="9" fontId="22" fillId="11" borderId="54" xfId="3" applyNumberFormat="1" applyFont="1" applyFill="1" applyBorder="1" applyAlignment="1" applyProtection="1">
      <alignment horizontal="right"/>
    </xf>
    <xf numFmtId="170" fontId="22" fillId="10" borderId="55" xfId="3" applyFont="1" applyFill="1" applyBorder="1" applyAlignment="1" applyProtection="1"/>
    <xf numFmtId="170" fontId="22" fillId="10" borderId="56" xfId="3" applyFont="1" applyFill="1" applyBorder="1" applyAlignment="1" applyProtection="1"/>
    <xf numFmtId="171" fontId="33" fillId="0" borderId="53" xfId="3" applyNumberFormat="1" applyFont="1" applyFill="1" applyBorder="1" applyAlignment="1" applyProtection="1">
      <alignment horizontal="right"/>
    </xf>
    <xf numFmtId="0" fontId="39" fillId="8" borderId="0" xfId="0" applyFont="1" applyFill="1" applyBorder="1" applyAlignment="1">
      <alignment horizontal="right"/>
    </xf>
    <xf numFmtId="170" fontId="22" fillId="10" borderId="57" xfId="3" applyFont="1" applyFill="1" applyBorder="1" applyAlignment="1" applyProtection="1"/>
    <xf numFmtId="170" fontId="34" fillId="0" borderId="45" xfId="3" applyFont="1" applyFill="1" applyBorder="1" applyAlignment="1" applyProtection="1">
      <alignment horizontal="right"/>
    </xf>
    <xf numFmtId="170" fontId="22" fillId="10" borderId="58" xfId="3" applyFont="1" applyFill="1" applyBorder="1" applyAlignment="1" applyProtection="1">
      <alignment horizontal="center"/>
    </xf>
    <xf numFmtId="170" fontId="22" fillId="10" borderId="59" xfId="3" applyFont="1" applyFill="1" applyBorder="1" applyAlignment="1" applyProtection="1">
      <alignment horizontal="center"/>
    </xf>
    <xf numFmtId="170" fontId="22" fillId="10" borderId="60" xfId="3" applyFont="1" applyFill="1" applyBorder="1" applyAlignment="1" applyProtection="1">
      <alignment horizontal="center"/>
    </xf>
    <xf numFmtId="170" fontId="22" fillId="10" borderId="61" xfId="3" applyFont="1" applyFill="1" applyBorder="1" applyAlignment="1" applyProtection="1">
      <alignment horizontal="center"/>
    </xf>
    <xf numFmtId="170" fontId="22" fillId="10" borderId="62" xfId="3" applyFont="1" applyFill="1" applyBorder="1" applyAlignment="1" applyProtection="1">
      <alignment horizontal="center"/>
    </xf>
    <xf numFmtId="170" fontId="22" fillId="10" borderId="63" xfId="3" applyFont="1" applyFill="1" applyBorder="1" applyAlignment="1" applyProtection="1">
      <alignment horizontal="center"/>
    </xf>
    <xf numFmtId="170" fontId="22" fillId="10" borderId="64" xfId="3" applyFont="1" applyFill="1" applyBorder="1" applyAlignment="1" applyProtection="1">
      <alignment horizontal="center"/>
    </xf>
    <xf numFmtId="170" fontId="22" fillId="10" borderId="65" xfId="3" applyFont="1" applyFill="1" applyBorder="1" applyAlignment="1" applyProtection="1">
      <alignment horizontal="center"/>
    </xf>
    <xf numFmtId="170" fontId="22" fillId="10" borderId="66" xfId="3" applyFont="1" applyFill="1" applyBorder="1" applyAlignment="1" applyProtection="1">
      <alignment horizontal="center"/>
    </xf>
    <xf numFmtId="170" fontId="22" fillId="10" borderId="67" xfId="3" applyFont="1" applyFill="1" applyBorder="1" applyAlignment="1" applyProtection="1">
      <alignment horizontal="center"/>
    </xf>
    <xf numFmtId="170" fontId="22" fillId="10" borderId="68" xfId="3" applyFont="1" applyFill="1" applyBorder="1" applyAlignment="1" applyProtection="1">
      <alignment horizontal="center"/>
    </xf>
    <xf numFmtId="170" fontId="22" fillId="10" borderId="69" xfId="3" applyFont="1" applyFill="1" applyBorder="1" applyAlignment="1" applyProtection="1">
      <alignment horizontal="center"/>
    </xf>
    <xf numFmtId="170" fontId="22" fillId="10" borderId="70" xfId="3" applyFont="1" applyFill="1" applyBorder="1" applyAlignment="1" applyProtection="1">
      <alignment horizontal="center"/>
    </xf>
    <xf numFmtId="170" fontId="21" fillId="14" borderId="35" xfId="3" applyFont="1" applyFill="1" applyBorder="1" applyAlignment="1" applyProtection="1">
      <alignment wrapText="1"/>
    </xf>
    <xf numFmtId="170" fontId="38" fillId="16" borderId="40" xfId="3" applyFont="1" applyFill="1" applyBorder="1" applyAlignment="1" applyProtection="1"/>
    <xf numFmtId="170" fontId="21" fillId="13" borderId="33" xfId="3" applyFont="1" applyFill="1" applyBorder="1" applyAlignment="1" applyProtection="1">
      <alignment wrapText="1"/>
    </xf>
    <xf numFmtId="170" fontId="24" fillId="15" borderId="38" xfId="3" applyFont="1" applyFill="1" applyBorder="1" applyAlignment="1" applyProtection="1"/>
    <xf numFmtId="170" fontId="24" fillId="18" borderId="0" xfId="3" applyFont="1" applyFill="1" applyBorder="1" applyAlignment="1" applyProtection="1">
      <alignment horizontal="center"/>
    </xf>
    <xf numFmtId="0" fontId="52" fillId="0" borderId="0" xfId="7"/>
    <xf numFmtId="0" fontId="53" fillId="8" borderId="71" xfId="7" applyFont="1" applyFill="1" applyBorder="1" applyAlignment="1">
      <alignment horizontal="left"/>
    </xf>
    <xf numFmtId="0" fontId="53" fillId="8" borderId="0" xfId="7" applyFont="1" applyFill="1" applyAlignment="1">
      <alignment horizontal="left"/>
    </xf>
    <xf numFmtId="0" fontId="52" fillId="8" borderId="0" xfId="7" applyFill="1"/>
    <xf numFmtId="0" fontId="52" fillId="0" borderId="0" xfId="7" applyFill="1"/>
    <xf numFmtId="0" fontId="52" fillId="0" borderId="0" xfId="7" applyBorder="1"/>
    <xf numFmtId="0" fontId="53" fillId="8" borderId="0" xfId="7" applyFont="1" applyFill="1"/>
    <xf numFmtId="0" fontId="54" fillId="23" borderId="36" xfId="7" applyFont="1" applyFill="1" applyBorder="1"/>
    <xf numFmtId="0" fontId="54" fillId="23" borderId="0" xfId="7" applyFont="1" applyFill="1" applyBorder="1" applyAlignment="1">
      <alignment wrapText="1"/>
    </xf>
    <xf numFmtId="0" fontId="54" fillId="23" borderId="37" xfId="7" applyFont="1" applyFill="1" applyBorder="1"/>
    <xf numFmtId="0" fontId="52" fillId="23" borderId="36" xfId="7" applyFill="1" applyBorder="1"/>
    <xf numFmtId="0" fontId="52" fillId="6" borderId="73" xfId="7" applyFill="1" applyBorder="1"/>
    <xf numFmtId="0" fontId="52" fillId="0" borderId="36" xfId="7" applyBorder="1"/>
    <xf numFmtId="0" fontId="52" fillId="0" borderId="37" xfId="7" applyBorder="1"/>
    <xf numFmtId="0" fontId="54" fillId="0" borderId="36" xfId="7" applyFont="1" applyBorder="1"/>
    <xf numFmtId="0" fontId="54" fillId="0" borderId="37" xfId="7" applyFont="1" applyBorder="1"/>
    <xf numFmtId="0" fontId="54" fillId="21" borderId="38" xfId="7" applyFont="1" applyFill="1" applyBorder="1"/>
    <xf numFmtId="0" fontId="54" fillId="20" borderId="0" xfId="7" applyFont="1" applyFill="1"/>
    <xf numFmtId="0" fontId="54" fillId="21" borderId="33" xfId="7" applyFont="1" applyFill="1" applyBorder="1"/>
    <xf numFmtId="0" fontId="52" fillId="21" borderId="35" xfId="7" applyFill="1" applyBorder="1"/>
    <xf numFmtId="0" fontId="52" fillId="23" borderId="36" xfId="7" applyFill="1" applyBorder="1" applyAlignment="1">
      <alignment wrapText="1"/>
    </xf>
    <xf numFmtId="0" fontId="52" fillId="21" borderId="34" xfId="7" applyFill="1" applyBorder="1"/>
    <xf numFmtId="0" fontId="54" fillId="23" borderId="0" xfId="7" applyFont="1" applyFill="1" applyBorder="1"/>
    <xf numFmtId="0" fontId="54" fillId="21" borderId="37" xfId="7" applyFont="1" applyFill="1" applyBorder="1"/>
    <xf numFmtId="0" fontId="54" fillId="13" borderId="33" xfId="7" applyFont="1" applyFill="1" applyBorder="1"/>
    <xf numFmtId="0" fontId="54" fillId="13" borderId="38" xfId="7" applyFont="1" applyFill="1" applyBorder="1"/>
    <xf numFmtId="0" fontId="52" fillId="13" borderId="39" xfId="7" applyFill="1" applyBorder="1"/>
    <xf numFmtId="0" fontId="54" fillId="25" borderId="33" xfId="7" applyFont="1" applyFill="1" applyBorder="1"/>
    <xf numFmtId="0" fontId="53" fillId="8" borderId="34" xfId="7" applyFont="1" applyFill="1" applyBorder="1"/>
    <xf numFmtId="0" fontId="53" fillId="8" borderId="35" xfId="7" applyFont="1" applyFill="1" applyBorder="1"/>
    <xf numFmtId="0" fontId="54" fillId="25" borderId="38" xfId="7" applyFont="1" applyFill="1" applyBorder="1"/>
    <xf numFmtId="0" fontId="54" fillId="25" borderId="39" xfId="7" applyFont="1" applyFill="1" applyBorder="1"/>
    <xf numFmtId="0" fontId="52" fillId="20" borderId="0" xfId="7" applyFill="1"/>
    <xf numFmtId="0" fontId="52" fillId="23" borderId="77" xfId="7" applyFill="1" applyBorder="1"/>
    <xf numFmtId="0" fontId="54" fillId="26" borderId="33" xfId="7" applyFont="1" applyFill="1" applyBorder="1"/>
    <xf numFmtId="0" fontId="54" fillId="26" borderId="38" xfId="7" applyFont="1" applyFill="1" applyBorder="1"/>
    <xf numFmtId="0" fontId="52" fillId="26" borderId="39" xfId="7" applyFill="1" applyBorder="1"/>
    <xf numFmtId="0" fontId="54" fillId="27" borderId="33" xfId="7" applyFont="1" applyFill="1" applyBorder="1"/>
    <xf numFmtId="0" fontId="52" fillId="23" borderId="36" xfId="7" applyFont="1" applyFill="1" applyBorder="1"/>
    <xf numFmtId="0" fontId="54" fillId="27" borderId="38" xfId="7" applyFont="1" applyFill="1" applyBorder="1"/>
    <xf numFmtId="0" fontId="54" fillId="28" borderId="33" xfId="7" applyFont="1" applyFill="1" applyBorder="1"/>
    <xf numFmtId="0" fontId="54" fillId="0" borderId="0" xfId="7" applyFont="1"/>
    <xf numFmtId="0" fontId="54" fillId="28" borderId="38" xfId="7" applyFont="1" applyFill="1" applyBorder="1"/>
    <xf numFmtId="170" fontId="27" fillId="0" borderId="37" xfId="3" applyFont="1" applyFill="1" applyBorder="1" applyAlignment="1" applyProtection="1">
      <alignment horizontal="center" vertical="center"/>
    </xf>
    <xf numFmtId="170" fontId="29" fillId="0" borderId="34" xfId="3" applyFont="1" applyFill="1" applyBorder="1" applyAlignment="1" applyProtection="1">
      <alignment horizontal="left" vertical="center"/>
    </xf>
    <xf numFmtId="170" fontId="30" fillId="0" borderId="0" xfId="3" applyFont="1" applyFill="1" applyBorder="1" applyAlignment="1" applyProtection="1">
      <alignment horizontal="left" vertical="center"/>
    </xf>
    <xf numFmtId="170" fontId="31" fillId="0" borderId="39" xfId="3" applyFont="1" applyFill="1" applyBorder="1" applyAlignment="1" applyProtection="1">
      <alignment horizontal="left" vertical="center"/>
    </xf>
    <xf numFmtId="0" fontId="52" fillId="0" borderId="0" xfId="7" applyAlignment="1">
      <alignment horizontal="center" wrapText="1"/>
    </xf>
    <xf numFmtId="9" fontId="21" fillId="0" borderId="0" xfId="3" applyNumberFormat="1" applyFont="1" applyFill="1" applyBorder="1" applyAlignment="1" applyProtection="1">
      <alignment horizontal="center" vertical="top"/>
    </xf>
    <xf numFmtId="0" fontId="22" fillId="0" borderId="34" xfId="4" applyFont="1" applyBorder="1" applyAlignment="1">
      <alignment horizontal="justify"/>
    </xf>
    <xf numFmtId="170" fontId="21" fillId="0" borderId="34" xfId="3" applyFont="1" applyFill="1" applyBorder="1" applyAlignment="1" applyProtection="1"/>
    <xf numFmtId="170" fontId="27" fillId="0" borderId="38" xfId="3" applyFont="1" applyFill="1" applyBorder="1" applyAlignment="1" applyProtection="1">
      <alignment horizontal="center" vertical="center"/>
    </xf>
    <xf numFmtId="9" fontId="21" fillId="0" borderId="0" xfId="5" applyFont="1" applyFill="1" applyBorder="1" applyAlignment="1" applyProtection="1">
      <alignment horizontal="center" vertical="top"/>
    </xf>
    <xf numFmtId="0" fontId="0" fillId="19" borderId="0" xfId="0" applyFill="1" applyBorder="1"/>
    <xf numFmtId="0" fontId="45" fillId="0" borderId="80" xfId="0" applyFont="1" applyBorder="1"/>
    <xf numFmtId="0" fontId="0" fillId="0" borderId="83" xfId="0" applyBorder="1"/>
    <xf numFmtId="0" fontId="0" fillId="0" borderId="84" xfId="0" applyBorder="1"/>
    <xf numFmtId="0" fontId="0" fillId="0" borderId="79" xfId="0" applyBorder="1"/>
    <xf numFmtId="0" fontId="0" fillId="0" borderId="85" xfId="0" applyBorder="1"/>
    <xf numFmtId="0" fontId="0" fillId="0" borderId="86" xfId="0" applyBorder="1"/>
    <xf numFmtId="0" fontId="0" fillId="0" borderId="83" xfId="0" applyBorder="1" applyAlignment="1">
      <alignment horizontal="right"/>
    </xf>
    <xf numFmtId="0" fontId="0" fillId="0" borderId="0" xfId="0" applyFill="1" applyBorder="1" applyAlignment="1">
      <alignment horizontal="left" vertical="center"/>
    </xf>
    <xf numFmtId="10" fontId="0" fillId="29" borderId="0" xfId="6" applyNumberFormat="1" applyFont="1" applyFill="1" applyBorder="1" applyAlignment="1">
      <alignment vertical="center"/>
    </xf>
    <xf numFmtId="10" fontId="0" fillId="29" borderId="84" xfId="6" applyNumberFormat="1" applyFont="1" applyFill="1" applyBorder="1" applyAlignment="1">
      <alignment vertical="center"/>
    </xf>
    <xf numFmtId="0" fontId="0" fillId="7" borderId="81" xfId="0" applyFill="1" applyBorder="1" applyAlignment="1">
      <alignment horizontal="center" vertical="center"/>
    </xf>
    <xf numFmtId="0" fontId="0" fillId="7" borderId="82" xfId="0" applyFill="1" applyBorder="1" applyAlignment="1">
      <alignment horizontal="center" vertical="center"/>
    </xf>
    <xf numFmtId="9" fontId="0" fillId="7" borderId="47" xfId="6" applyFont="1" applyFill="1" applyBorder="1"/>
    <xf numFmtId="9" fontId="0" fillId="7" borderId="49" xfId="6" applyFont="1" applyFill="1" applyBorder="1"/>
    <xf numFmtId="0" fontId="0" fillId="0" borderId="38" xfId="0" applyFill="1" applyBorder="1" applyAlignment="1">
      <alignment horizontal="left" vertical="center"/>
    </xf>
    <xf numFmtId="2" fontId="0" fillId="0" borderId="85" xfId="0" applyNumberFormat="1" applyBorder="1"/>
    <xf numFmtId="170" fontId="29" fillId="0" borderId="0" xfId="3" applyFont="1" applyFill="1" applyBorder="1" applyAlignment="1" applyProtection="1"/>
    <xf numFmtId="170" fontId="32" fillId="0" borderId="0" xfId="3" applyFont="1" applyFill="1" applyBorder="1" applyAlignment="1" applyProtection="1"/>
    <xf numFmtId="0" fontId="0" fillId="7" borderId="50" xfId="0" applyFont="1" applyFill="1" applyBorder="1"/>
    <xf numFmtId="0" fontId="16" fillId="13" borderId="0" xfId="1" applyFont="1" applyFill="1" applyAlignment="1">
      <alignment horizontal="center" vertical="center"/>
    </xf>
    <xf numFmtId="170" fontId="27" fillId="0" borderId="0" xfId="3" applyFont="1" applyFill="1" applyBorder="1" applyAlignment="1" applyProtection="1">
      <alignment vertical="center"/>
    </xf>
    <xf numFmtId="0" fontId="0" fillId="0" borderId="35" xfId="0" applyBorder="1"/>
    <xf numFmtId="0" fontId="0" fillId="0" borderId="48" xfId="0" applyBorder="1" applyAlignment="1">
      <alignment wrapText="1"/>
    </xf>
    <xf numFmtId="0" fontId="0" fillId="0" borderId="48" xfId="0" applyBorder="1" applyAlignment="1">
      <alignment vertical="top" wrapText="1"/>
    </xf>
    <xf numFmtId="0" fontId="0" fillId="0" borderId="48" xfId="0" applyBorder="1" applyAlignment="1">
      <alignment horizontal="left" vertical="top" wrapText="1"/>
    </xf>
    <xf numFmtId="0" fontId="3" fillId="9" borderId="50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59" fillId="9" borderId="0" xfId="0" applyFont="1" applyFill="1" applyBorder="1" applyAlignment="1">
      <alignment wrapText="1"/>
    </xf>
    <xf numFmtId="0" fontId="59" fillId="8" borderId="0" xfId="0" applyFont="1" applyFill="1" applyBorder="1" applyAlignment="1">
      <alignment wrapText="1"/>
    </xf>
    <xf numFmtId="9" fontId="59" fillId="0" borderId="0" xfId="6" applyFont="1"/>
    <xf numFmtId="0" fontId="59" fillId="12" borderId="90" xfId="0" applyFont="1" applyFill="1" applyBorder="1"/>
    <xf numFmtId="0" fontId="59" fillId="12" borderId="91" xfId="0" applyFont="1" applyFill="1" applyBorder="1"/>
    <xf numFmtId="0" fontId="59" fillId="9" borderId="90" xfId="0" applyFont="1" applyFill="1" applyBorder="1" applyAlignment="1">
      <alignment wrapText="1"/>
    </xf>
    <xf numFmtId="0" fontId="59" fillId="9" borderId="91" xfId="0" applyFont="1" applyFill="1" applyBorder="1" applyAlignment="1">
      <alignment wrapText="1"/>
    </xf>
    <xf numFmtId="0" fontId="59" fillId="8" borderId="90" xfId="0" applyFont="1" applyFill="1" applyBorder="1" applyAlignment="1">
      <alignment wrapText="1"/>
    </xf>
    <xf numFmtId="0" fontId="59" fillId="8" borderId="91" xfId="0" applyFont="1" applyFill="1" applyBorder="1" applyAlignment="1">
      <alignment wrapText="1"/>
    </xf>
    <xf numFmtId="0" fontId="59" fillId="23" borderId="99" xfId="0" applyFont="1" applyFill="1" applyBorder="1" applyAlignment="1">
      <alignment wrapText="1"/>
    </xf>
    <xf numFmtId="1" fontId="59" fillId="6" borderId="100" xfId="6" applyNumberFormat="1" applyFont="1" applyFill="1" applyBorder="1" applyAlignment="1">
      <alignment horizontal="center"/>
    </xf>
    <xf numFmtId="0" fontId="59" fillId="6" borderId="92" xfId="0" applyFont="1" applyFill="1" applyBorder="1" applyAlignment="1">
      <alignment horizontal="center"/>
    </xf>
    <xf numFmtId="0" fontId="59" fillId="6" borderId="93" xfId="0" applyFont="1" applyFill="1" applyBorder="1" applyAlignment="1">
      <alignment horizontal="center"/>
    </xf>
    <xf numFmtId="9" fontId="59" fillId="6" borderId="92" xfId="6" applyFont="1" applyFill="1" applyBorder="1" applyAlignment="1">
      <alignment horizontal="center"/>
    </xf>
    <xf numFmtId="9" fontId="59" fillId="6" borderId="87" xfId="6" applyFont="1" applyFill="1" applyBorder="1" applyAlignment="1">
      <alignment horizontal="center"/>
    </xf>
    <xf numFmtId="9" fontId="59" fillId="6" borderId="93" xfId="6" applyFont="1" applyFill="1" applyBorder="1" applyAlignment="1">
      <alignment horizontal="center"/>
    </xf>
    <xf numFmtId="0" fontId="59" fillId="6" borderId="87" xfId="0" applyFont="1" applyFill="1" applyBorder="1" applyAlignment="1">
      <alignment horizontal="center"/>
    </xf>
    <xf numFmtId="0" fontId="59" fillId="6" borderId="100" xfId="0" applyFont="1" applyFill="1" applyBorder="1" applyAlignment="1">
      <alignment horizontal="center"/>
    </xf>
    <xf numFmtId="0" fontId="59" fillId="6" borderId="95" xfId="0" applyFont="1" applyFill="1" applyBorder="1" applyAlignment="1">
      <alignment horizontal="center"/>
    </xf>
    <xf numFmtId="0" fontId="59" fillId="6" borderId="94" xfId="0" applyFont="1" applyFill="1" applyBorder="1" applyAlignment="1">
      <alignment horizontal="center"/>
    </xf>
    <xf numFmtId="0" fontId="59" fillId="6" borderId="97" xfId="0" applyFont="1" applyFill="1" applyBorder="1" applyAlignment="1">
      <alignment horizontal="center"/>
    </xf>
    <xf numFmtId="0" fontId="59" fillId="6" borderId="101" xfId="0" applyFont="1" applyFill="1" applyBorder="1" applyAlignment="1">
      <alignment horizontal="center"/>
    </xf>
    <xf numFmtId="0" fontId="61" fillId="19" borderId="98" xfId="0" applyFont="1" applyFill="1" applyBorder="1" applyAlignment="1"/>
    <xf numFmtId="0" fontId="61" fillId="19" borderId="98" xfId="0" applyFont="1" applyFill="1" applyBorder="1"/>
    <xf numFmtId="0" fontId="61" fillId="31" borderId="89" xfId="0" applyFont="1" applyFill="1" applyBorder="1"/>
    <xf numFmtId="0" fontId="0" fillId="23" borderId="100" xfId="0" applyFill="1" applyBorder="1" applyAlignment="1">
      <alignment horizontal="center"/>
    </xf>
    <xf numFmtId="0" fontId="0" fillId="30" borderId="100" xfId="0" applyFill="1" applyBorder="1" applyAlignment="1">
      <alignment horizontal="center"/>
    </xf>
    <xf numFmtId="0" fontId="0" fillId="23" borderId="101" xfId="0" applyFill="1" applyBorder="1" applyAlignment="1">
      <alignment horizontal="center"/>
    </xf>
    <xf numFmtId="0" fontId="0" fillId="30" borderId="101" xfId="0" applyFill="1" applyBorder="1" applyAlignment="1">
      <alignment horizontal="center"/>
    </xf>
    <xf numFmtId="0" fontId="52" fillId="0" borderId="0" xfId="7" applyAlignment="1">
      <alignment wrapText="1"/>
    </xf>
    <xf numFmtId="0" fontId="14" fillId="0" borderId="102" xfId="0" applyNumberFormat="1" applyFont="1" applyFill="1" applyBorder="1" applyAlignment="1">
      <alignment horizontal="center"/>
    </xf>
    <xf numFmtId="0" fontId="16" fillId="0" borderId="103" xfId="1" applyFont="1" applyFill="1" applyBorder="1" applyAlignment="1">
      <alignment horizontal="center" vertical="center"/>
    </xf>
    <xf numFmtId="0" fontId="14" fillId="13" borderId="87" xfId="0" applyNumberFormat="1" applyFont="1" applyFill="1" applyBorder="1" applyAlignment="1">
      <alignment horizontal="center"/>
    </xf>
    <xf numFmtId="0" fontId="15" fillId="13" borderId="87" xfId="0" applyNumberFormat="1" applyFont="1" applyFill="1" applyBorder="1" applyAlignment="1">
      <alignment horizontal="center" vertical="center"/>
    </xf>
    <xf numFmtId="0" fontId="16" fillId="13" borderId="87" xfId="1" applyFont="1" applyFill="1" applyBorder="1" applyAlignment="1">
      <alignment horizontal="center" vertical="center"/>
    </xf>
    <xf numFmtId="168" fontId="16" fillId="13" borderId="87" xfId="1" applyNumberFormat="1" applyFont="1" applyFill="1" applyBorder="1" applyAlignment="1">
      <alignment horizontal="center" vertical="center"/>
    </xf>
    <xf numFmtId="167" fontId="16" fillId="13" borderId="87" xfId="1" applyNumberFormat="1" applyFont="1" applyFill="1" applyBorder="1" applyAlignment="1">
      <alignment horizontal="center" vertical="center"/>
    </xf>
    <xf numFmtId="0" fontId="0" fillId="0" borderId="104" xfId="0" applyBorder="1"/>
    <xf numFmtId="0" fontId="3" fillId="0" borderId="0" xfId="0" applyFont="1" applyBorder="1"/>
    <xf numFmtId="9" fontId="0" fillId="0" borderId="11" xfId="6" applyFont="1" applyBorder="1"/>
    <xf numFmtId="9" fontId="0" fillId="2" borderId="9" xfId="6" applyFont="1" applyFill="1" applyBorder="1"/>
    <xf numFmtId="9" fontId="0" fillId="2" borderId="0" xfId="6" applyFont="1" applyFill="1"/>
    <xf numFmtId="9" fontId="0" fillId="0" borderId="6" xfId="0" applyNumberFormat="1" applyFill="1" applyBorder="1" applyAlignment="1">
      <alignment horizontal="center"/>
    </xf>
    <xf numFmtId="0" fontId="62" fillId="0" borderId="5" xfId="0" applyFont="1" applyBorder="1" applyAlignment="1">
      <alignment horizontal="left" wrapText="1"/>
    </xf>
    <xf numFmtId="0" fontId="62" fillId="0" borderId="6" xfId="0" applyFont="1" applyBorder="1" applyAlignment="1">
      <alignment horizontal="left" wrapText="1"/>
    </xf>
    <xf numFmtId="0" fontId="62" fillId="0" borderId="0" xfId="0" applyFont="1" applyBorder="1" applyAlignment="1">
      <alignment horizontal="left" wrapText="1"/>
    </xf>
    <xf numFmtId="0" fontId="0" fillId="0" borderId="0" xfId="0" applyFont="1" applyBorder="1" applyAlignment="1">
      <alignment wrapText="1"/>
    </xf>
    <xf numFmtId="0" fontId="62" fillId="0" borderId="6" xfId="0" applyFont="1" applyFill="1" applyBorder="1" applyAlignment="1">
      <alignment horizontal="left" wrapText="1"/>
    </xf>
    <xf numFmtId="0" fontId="0" fillId="0" borderId="0" xfId="0" applyFont="1" applyBorder="1"/>
    <xf numFmtId="0" fontId="62" fillId="0" borderId="16" xfId="0" applyFont="1" applyBorder="1" applyAlignment="1">
      <alignment horizontal="left"/>
    </xf>
    <xf numFmtId="0" fontId="62" fillId="0" borderId="20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62" fillId="0" borderId="16" xfId="0" applyFont="1" applyBorder="1" applyAlignment="1">
      <alignment horizontal="left" wrapText="1"/>
    </xf>
    <xf numFmtId="0" fontId="62" fillId="0" borderId="20" xfId="0" applyFont="1" applyBorder="1" applyAlignment="1">
      <alignment horizontal="left" wrapText="1"/>
    </xf>
    <xf numFmtId="0" fontId="0" fillId="0" borderId="0" xfId="0" applyFont="1" applyAlignment="1">
      <alignment horizontal="left"/>
    </xf>
    <xf numFmtId="0" fontId="62" fillId="0" borderId="29" xfId="0" applyFont="1" applyBorder="1" applyAlignment="1">
      <alignment horizontal="left" wrapText="1"/>
    </xf>
    <xf numFmtId="0" fontId="62" fillId="0" borderId="30" xfId="0" applyFont="1" applyBorder="1" applyAlignment="1">
      <alignment horizontal="left" wrapText="1"/>
    </xf>
    <xf numFmtId="0" fontId="62" fillId="0" borderId="31" xfId="0" applyFont="1" applyBorder="1" applyAlignment="1">
      <alignment horizontal="left" wrapText="1"/>
    </xf>
    <xf numFmtId="0" fontId="3" fillId="6" borderId="5" xfId="0" applyFont="1" applyFill="1" applyBorder="1" applyAlignment="1">
      <alignment horizontal="left"/>
    </xf>
    <xf numFmtId="0" fontId="54" fillId="21" borderId="33" xfId="7" applyFont="1" applyFill="1" applyBorder="1" applyAlignment="1">
      <alignment horizontal="center" vertical="top" wrapText="1"/>
    </xf>
    <xf numFmtId="0" fontId="52" fillId="6" borderId="106" xfId="7" applyFill="1" applyBorder="1"/>
    <xf numFmtId="174" fontId="63" fillId="21" borderId="40" xfId="8" applyNumberFormat="1" applyFont="1" applyFill="1" applyBorder="1" applyAlignment="1">
      <alignment horizontal="center" vertical="center"/>
    </xf>
    <xf numFmtId="0" fontId="54" fillId="23" borderId="36" xfId="7" applyFont="1" applyFill="1" applyBorder="1" applyAlignment="1">
      <alignment wrapText="1"/>
    </xf>
    <xf numFmtId="174" fontId="63" fillId="13" borderId="40" xfId="8" applyNumberFormat="1" applyFont="1" applyFill="1" applyBorder="1" applyAlignment="1">
      <alignment horizontal="center" vertical="center"/>
    </xf>
    <xf numFmtId="174" fontId="63" fillId="25" borderId="40" xfId="8" applyNumberFormat="1" applyFont="1" applyFill="1" applyBorder="1" applyAlignment="1">
      <alignment horizontal="center" vertical="center"/>
    </xf>
    <xf numFmtId="174" fontId="63" fillId="26" borderId="40" xfId="8" applyNumberFormat="1" applyFont="1" applyFill="1" applyBorder="1" applyAlignment="1">
      <alignment horizontal="center" vertical="center"/>
    </xf>
    <xf numFmtId="174" fontId="63" fillId="33" borderId="40" xfId="8" applyNumberFormat="1" applyFont="1" applyFill="1" applyBorder="1" applyAlignment="1">
      <alignment horizontal="center" vertical="center"/>
    </xf>
    <xf numFmtId="174" fontId="63" fillId="28" borderId="40" xfId="8" applyNumberFormat="1" applyFont="1" applyFill="1" applyBorder="1" applyAlignment="1">
      <alignment horizontal="center" vertical="center"/>
    </xf>
    <xf numFmtId="0" fontId="64" fillId="0" borderId="33" xfId="7" applyFont="1" applyBorder="1"/>
    <xf numFmtId="0" fontId="64" fillId="0" borderId="35" xfId="7" applyFont="1" applyBorder="1" applyAlignment="1">
      <alignment horizontal="center" vertical="center"/>
    </xf>
    <xf numFmtId="0" fontId="54" fillId="0" borderId="108" xfId="7" applyFont="1" applyBorder="1"/>
    <xf numFmtId="0" fontId="54" fillId="26" borderId="108" xfId="7" applyFont="1" applyFill="1" applyBorder="1" applyAlignment="1">
      <alignment horizontal="right"/>
    </xf>
    <xf numFmtId="0" fontId="54" fillId="27" borderId="108" xfId="7" applyFont="1" applyFill="1" applyBorder="1" applyAlignment="1">
      <alignment horizontal="center"/>
    </xf>
    <xf numFmtId="0" fontId="54" fillId="28" borderId="108" xfId="7" applyFont="1" applyFill="1" applyBorder="1" applyAlignment="1">
      <alignment horizontal="right"/>
    </xf>
    <xf numFmtId="0" fontId="52" fillId="0" borderId="108" xfId="7" applyBorder="1"/>
    <xf numFmtId="0" fontId="54" fillId="13" borderId="108" xfId="7" applyFont="1" applyFill="1" applyBorder="1" applyAlignment="1">
      <alignment horizontal="right"/>
    </xf>
    <xf numFmtId="174" fontId="63" fillId="13" borderId="105" xfId="8" applyNumberFormat="1" applyFont="1" applyFill="1" applyBorder="1" applyAlignment="1">
      <alignment horizontal="center" vertical="center"/>
    </xf>
    <xf numFmtId="0" fontId="54" fillId="0" borderId="107" xfId="7" applyFont="1" applyBorder="1"/>
    <xf numFmtId="0" fontId="54" fillId="25" borderId="108" xfId="7" applyFont="1" applyFill="1" applyBorder="1" applyAlignment="1">
      <alignment horizontal="right"/>
    </xf>
    <xf numFmtId="174" fontId="63" fillId="25" borderId="108" xfId="8" applyNumberFormat="1" applyFont="1" applyFill="1" applyBorder="1" applyAlignment="1">
      <alignment horizontal="center" vertical="center"/>
    </xf>
    <xf numFmtId="174" fontId="63" fillId="26" borderId="108" xfId="8" applyNumberFormat="1" applyFont="1" applyFill="1" applyBorder="1" applyAlignment="1">
      <alignment horizontal="center" vertical="center"/>
    </xf>
    <xf numFmtId="174" fontId="63" fillId="33" borderId="108" xfId="8" applyNumberFormat="1" applyFont="1" applyFill="1" applyBorder="1" applyAlignment="1">
      <alignment horizontal="center" vertical="center"/>
    </xf>
    <xf numFmtId="174" fontId="63" fillId="28" borderId="108" xfId="8" applyNumberFormat="1" applyFont="1" applyFill="1" applyBorder="1" applyAlignment="1">
      <alignment horizontal="center" vertical="center"/>
    </xf>
    <xf numFmtId="0" fontId="54" fillId="0" borderId="0" xfId="7" applyFont="1" applyFill="1" applyBorder="1"/>
    <xf numFmtId="174" fontId="63" fillId="0" borderId="0" xfId="8" applyNumberFormat="1" applyFont="1" applyFill="1" applyBorder="1" applyAlignment="1">
      <alignment horizontal="center" vertical="center"/>
    </xf>
    <xf numFmtId="44" fontId="54" fillId="23" borderId="37" xfId="8" applyFont="1" applyFill="1" applyBorder="1" applyAlignment="1">
      <alignment wrapText="1"/>
    </xf>
    <xf numFmtId="0" fontId="52" fillId="6" borderId="109" xfId="7" applyFill="1" applyBorder="1"/>
    <xf numFmtId="0" fontId="54" fillId="23" borderId="110" xfId="7" applyFont="1" applyFill="1" applyBorder="1" applyAlignment="1">
      <alignment wrapText="1"/>
    </xf>
    <xf numFmtId="0" fontId="52" fillId="6" borderId="72" xfId="7" applyFill="1" applyBorder="1"/>
    <xf numFmtId="174" fontId="65" fillId="6" borderId="73" xfId="8" applyNumberFormat="1" applyFont="1" applyFill="1" applyBorder="1" applyAlignment="1">
      <alignment horizontal="center" vertical="center"/>
    </xf>
    <xf numFmtId="174" fontId="65" fillId="6" borderId="72" xfId="8" applyNumberFormat="1" applyFont="1" applyFill="1" applyBorder="1" applyAlignment="1">
      <alignment horizontal="center" vertical="center"/>
    </xf>
    <xf numFmtId="44" fontId="54" fillId="23" borderId="0" xfId="8" applyFont="1" applyFill="1" applyBorder="1" applyAlignment="1">
      <alignment wrapText="1"/>
    </xf>
    <xf numFmtId="174" fontId="65" fillId="6" borderId="74" xfId="8" applyNumberFormat="1" applyFont="1" applyFill="1" applyBorder="1" applyAlignment="1">
      <alignment horizontal="center" vertical="center"/>
    </xf>
    <xf numFmtId="174" fontId="65" fillId="6" borderId="111" xfId="8" applyNumberFormat="1" applyFont="1" applyFill="1" applyBorder="1" applyAlignment="1">
      <alignment horizontal="center" vertical="center"/>
    </xf>
    <xf numFmtId="0" fontId="52" fillId="6" borderId="112" xfId="7" applyFill="1" applyBorder="1"/>
    <xf numFmtId="174" fontId="63" fillId="23" borderId="37" xfId="8" applyNumberFormat="1" applyFont="1" applyFill="1" applyBorder="1" applyAlignment="1">
      <alignment horizontal="center" vertical="center"/>
    </xf>
    <xf numFmtId="174" fontId="65" fillId="23" borderId="37" xfId="8" applyNumberFormat="1" applyFont="1" applyFill="1" applyBorder="1" applyAlignment="1">
      <alignment horizontal="center" vertical="center"/>
    </xf>
    <xf numFmtId="175" fontId="52" fillId="0" borderId="36" xfId="7" applyNumberFormat="1" applyBorder="1"/>
    <xf numFmtId="175" fontId="52" fillId="0" borderId="37" xfId="7" applyNumberFormat="1" applyBorder="1"/>
    <xf numFmtId="0" fontId="52" fillId="0" borderId="39" xfId="7" applyBorder="1"/>
    <xf numFmtId="174" fontId="65" fillId="6" borderId="75" xfId="8" applyNumberFormat="1" applyFont="1" applyFill="1" applyBorder="1" applyAlignment="1">
      <alignment horizontal="center" vertical="center"/>
    </xf>
    <xf numFmtId="174" fontId="65" fillId="6" borderId="76" xfId="8" applyNumberFormat="1" applyFont="1" applyFill="1" applyBorder="1" applyAlignment="1">
      <alignment horizontal="center" vertical="center"/>
    </xf>
    <xf numFmtId="174" fontId="63" fillId="28" borderId="39" xfId="8" applyNumberFormat="1" applyFont="1" applyFill="1" applyBorder="1" applyAlignment="1">
      <alignment horizontal="center" vertical="center"/>
    </xf>
    <xf numFmtId="174" fontId="65" fillId="6" borderId="78" xfId="8" applyNumberFormat="1" applyFont="1" applyFill="1" applyBorder="1" applyAlignment="1">
      <alignment horizontal="center" vertical="center"/>
    </xf>
    <xf numFmtId="0" fontId="52" fillId="0" borderId="33" xfId="7" applyBorder="1"/>
    <xf numFmtId="174" fontId="65" fillId="6" borderId="112" xfId="8" applyNumberFormat="1" applyFont="1" applyFill="1" applyBorder="1" applyAlignment="1">
      <alignment horizontal="center" vertical="center"/>
    </xf>
    <xf numFmtId="173" fontId="52" fillId="6" borderId="113" xfId="7" applyNumberFormat="1" applyFill="1" applyBorder="1"/>
    <xf numFmtId="0" fontId="54" fillId="22" borderId="33" xfId="7" applyFont="1" applyFill="1" applyBorder="1" applyAlignment="1">
      <alignment horizontal="center"/>
    </xf>
    <xf numFmtId="173" fontId="54" fillId="6" borderId="114" xfId="7" applyNumberFormat="1" applyFont="1" applyFill="1" applyBorder="1" applyAlignment="1">
      <alignment horizontal="left"/>
    </xf>
    <xf numFmtId="0" fontId="54" fillId="14" borderId="36" xfId="7" applyFont="1" applyFill="1" applyBorder="1" applyAlignment="1">
      <alignment horizontal="center" wrapText="1"/>
    </xf>
    <xf numFmtId="0" fontId="54" fillId="6" borderId="74" xfId="8" applyNumberFormat="1" applyFont="1" applyFill="1" applyBorder="1" applyAlignment="1">
      <alignment horizontal="left"/>
    </xf>
    <xf numFmtId="0" fontId="66" fillId="22" borderId="36" xfId="7" applyFont="1" applyFill="1" applyBorder="1" applyAlignment="1">
      <alignment horizontal="center" wrapText="1"/>
    </xf>
    <xf numFmtId="0" fontId="54" fillId="14" borderId="38" xfId="7" applyFont="1" applyFill="1" applyBorder="1" applyAlignment="1">
      <alignment horizontal="center"/>
    </xf>
    <xf numFmtId="0" fontId="54" fillId="6" borderId="115" xfId="7" applyNumberFormat="1" applyFont="1" applyFill="1" applyBorder="1" applyAlignment="1">
      <alignment horizontal="left"/>
    </xf>
    <xf numFmtId="0" fontId="61" fillId="32" borderId="88" xfId="0" applyFont="1" applyFill="1" applyBorder="1" applyAlignment="1">
      <alignment horizontal="center"/>
    </xf>
    <xf numFmtId="0" fontId="61" fillId="32" borderId="89" xfId="0" applyFont="1" applyFill="1" applyBorder="1" applyAlignment="1">
      <alignment horizontal="center"/>
    </xf>
    <xf numFmtId="0" fontId="61" fillId="21" borderId="88" xfId="0" applyFont="1" applyFill="1" applyBorder="1" applyAlignment="1">
      <alignment horizontal="center"/>
    </xf>
    <xf numFmtId="0" fontId="61" fillId="21" borderId="96" xfId="0" applyFont="1" applyFill="1" applyBorder="1" applyAlignment="1">
      <alignment horizontal="center"/>
    </xf>
    <xf numFmtId="0" fontId="61" fillId="21" borderId="89" xfId="0" applyFont="1" applyFill="1" applyBorder="1" applyAlignment="1">
      <alignment horizontal="center"/>
    </xf>
    <xf numFmtId="0" fontId="61" fillId="14" borderId="88" xfId="0" applyFont="1" applyFill="1" applyBorder="1" applyAlignment="1">
      <alignment horizontal="center"/>
    </xf>
    <xf numFmtId="0" fontId="61" fillId="14" borderId="96" xfId="0" applyFont="1" applyFill="1" applyBorder="1" applyAlignment="1">
      <alignment horizontal="center"/>
    </xf>
    <xf numFmtId="0" fontId="61" fillId="14" borderId="89" xfId="0" applyFont="1" applyFill="1" applyBorder="1" applyAlignment="1">
      <alignment horizontal="center"/>
    </xf>
    <xf numFmtId="0" fontId="60" fillId="0" borderId="0" xfId="0" applyFont="1" applyAlignment="1">
      <alignment horizontal="center"/>
    </xf>
    <xf numFmtId="0" fontId="59" fillId="0" borderId="0" xfId="0" applyFont="1" applyBorder="1" applyAlignment="1">
      <alignment horizontal="center"/>
    </xf>
    <xf numFmtId="0" fontId="0" fillId="8" borderId="94" xfId="0" applyFill="1" applyBorder="1" applyAlignment="1">
      <alignment horizontal="center"/>
    </xf>
    <xf numFmtId="0" fontId="0" fillId="8" borderId="97" xfId="0" applyFill="1" applyBorder="1" applyAlignment="1">
      <alignment horizontal="center"/>
    </xf>
    <xf numFmtId="0" fontId="0" fillId="8" borderId="9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12" borderId="92" xfId="0" applyFill="1" applyBorder="1" applyAlignment="1">
      <alignment horizontal="center"/>
    </xf>
    <xf numFmtId="0" fontId="0" fillId="12" borderId="93" xfId="0" applyFill="1" applyBorder="1" applyAlignment="1">
      <alignment horizontal="center"/>
    </xf>
    <xf numFmtId="0" fontId="0" fillId="12" borderId="94" xfId="0" applyFill="1" applyBorder="1" applyAlignment="1">
      <alignment horizontal="center"/>
    </xf>
    <xf numFmtId="0" fontId="0" fillId="12" borderId="95" xfId="0" applyFill="1" applyBorder="1" applyAlignment="1">
      <alignment horizontal="center"/>
    </xf>
    <xf numFmtId="0" fontId="0" fillId="9" borderId="92" xfId="0" applyFill="1" applyBorder="1" applyAlignment="1">
      <alignment horizontal="center"/>
    </xf>
    <xf numFmtId="0" fontId="0" fillId="9" borderId="87" xfId="0" applyFill="1" applyBorder="1" applyAlignment="1">
      <alignment horizontal="center"/>
    </xf>
    <xf numFmtId="0" fontId="0" fillId="9" borderId="93" xfId="0" applyFill="1" applyBorder="1" applyAlignment="1">
      <alignment horizontal="center"/>
    </xf>
    <xf numFmtId="0" fontId="0" fillId="9" borderId="94" xfId="0" applyFill="1" applyBorder="1" applyAlignment="1">
      <alignment horizontal="center"/>
    </xf>
    <xf numFmtId="0" fontId="0" fillId="9" borderId="97" xfId="0" applyFill="1" applyBorder="1" applyAlignment="1">
      <alignment horizontal="center"/>
    </xf>
    <xf numFmtId="0" fontId="0" fillId="9" borderId="95" xfId="0" applyFill="1" applyBorder="1" applyAlignment="1">
      <alignment horizontal="center"/>
    </xf>
    <xf numFmtId="170" fontId="27" fillId="0" borderId="35" xfId="3" applyFont="1" applyFill="1" applyBorder="1" applyAlignment="1" applyProtection="1">
      <alignment horizontal="center" vertical="center"/>
    </xf>
    <xf numFmtId="170" fontId="27" fillId="0" borderId="37" xfId="3" applyFont="1" applyFill="1" applyBorder="1" applyAlignment="1" applyProtection="1">
      <alignment horizontal="center" vertical="center"/>
    </xf>
    <xf numFmtId="170" fontId="27" fillId="0" borderId="40" xfId="3" applyFont="1" applyFill="1" applyBorder="1" applyAlignment="1" applyProtection="1">
      <alignment horizontal="center" vertical="center"/>
    </xf>
    <xf numFmtId="170" fontId="30" fillId="0" borderId="0" xfId="3" applyFont="1" applyFill="1" applyBorder="1" applyAlignment="1" applyProtection="1">
      <alignment horizontal="center" vertical="center"/>
    </xf>
    <xf numFmtId="170" fontId="29" fillId="0" borderId="34" xfId="3" applyFont="1" applyFill="1" applyBorder="1" applyAlignment="1" applyProtection="1">
      <alignment horizontal="center" vertical="center"/>
    </xf>
    <xf numFmtId="170" fontId="31" fillId="0" borderId="39" xfId="3" applyFont="1" applyFill="1" applyBorder="1" applyAlignment="1" applyProtection="1">
      <alignment horizontal="center" vertical="center"/>
    </xf>
    <xf numFmtId="0" fontId="52" fillId="0" borderId="39" xfId="7" applyBorder="1" applyAlignment="1">
      <alignment horizontal="center" wrapText="1"/>
    </xf>
    <xf numFmtId="0" fontId="53" fillId="8" borderId="0" xfId="7" applyFont="1" applyFill="1" applyAlignment="1">
      <alignment horizontal="center"/>
    </xf>
    <xf numFmtId="0" fontId="55" fillId="0" borderId="0" xfId="7" applyFont="1" applyFill="1" applyAlignment="1">
      <alignment horizontal="left" vertical="top"/>
    </xf>
    <xf numFmtId="0" fontId="57" fillId="0" borderId="33" xfId="7" applyFont="1" applyFill="1" applyBorder="1" applyAlignment="1">
      <alignment horizontal="center" vertical="center" wrapText="1"/>
    </xf>
    <xf numFmtId="0" fontId="57" fillId="0" borderId="34" xfId="7" applyFont="1" applyFill="1" applyBorder="1" applyAlignment="1">
      <alignment horizontal="center" vertical="center" wrapText="1"/>
    </xf>
    <xf numFmtId="0" fontId="57" fillId="0" borderId="36" xfId="7" applyFont="1" applyFill="1" applyBorder="1" applyAlignment="1">
      <alignment horizontal="center" vertical="center" wrapText="1"/>
    </xf>
    <xf numFmtId="0" fontId="57" fillId="0" borderId="0" xfId="7" applyFont="1" applyFill="1" applyBorder="1" applyAlignment="1">
      <alignment horizontal="center" vertical="center" wrapText="1"/>
    </xf>
    <xf numFmtId="0" fontId="57" fillId="0" borderId="38" xfId="7" applyFont="1" applyFill="1" applyBorder="1" applyAlignment="1">
      <alignment horizontal="center" vertical="center" wrapText="1"/>
    </xf>
    <xf numFmtId="0" fontId="57" fillId="0" borderId="39" xfId="7" applyFont="1" applyFill="1" applyBorder="1" applyAlignment="1">
      <alignment horizontal="center" vertical="center" wrapText="1"/>
    </xf>
    <xf numFmtId="2" fontId="0" fillId="0" borderId="34" xfId="6" applyNumberFormat="1" applyFont="1" applyFill="1" applyBorder="1" applyAlignment="1">
      <alignment horizontal="center" vertical="center"/>
    </xf>
    <xf numFmtId="2" fontId="0" fillId="0" borderId="0" xfId="6" applyNumberFormat="1" applyFont="1" applyFill="1" applyBorder="1" applyAlignment="1">
      <alignment horizontal="center" vertical="center"/>
    </xf>
    <xf numFmtId="2" fontId="0" fillId="0" borderId="39" xfId="6" applyNumberFormat="1" applyFont="1" applyFill="1" applyBorder="1" applyAlignment="1">
      <alignment horizontal="center" vertical="center"/>
    </xf>
    <xf numFmtId="0" fontId="0" fillId="8" borderId="92" xfId="0" applyFill="1" applyBorder="1" applyAlignment="1">
      <alignment horizontal="center"/>
    </xf>
    <xf numFmtId="0" fontId="0" fillId="8" borderId="87" xfId="0" applyFill="1" applyBorder="1" applyAlignment="1">
      <alignment horizontal="center"/>
    </xf>
    <xf numFmtId="0" fontId="0" fillId="8" borderId="93" xfId="0" applyFill="1" applyBorder="1" applyAlignment="1">
      <alignment horizontal="center"/>
    </xf>
    <xf numFmtId="170" fontId="32" fillId="0" borderId="38" xfId="3" applyFont="1" applyFill="1" applyBorder="1" applyAlignment="1" applyProtection="1">
      <alignment horizontal="right"/>
    </xf>
    <xf numFmtId="170" fontId="32" fillId="0" borderId="40" xfId="3" applyFont="1" applyFill="1" applyBorder="1" applyAlignment="1" applyProtection="1">
      <alignment horizontal="right"/>
    </xf>
    <xf numFmtId="170" fontId="30" fillId="0" borderId="36" xfId="3" applyFont="1" applyFill="1" applyBorder="1" applyAlignment="1" applyProtection="1">
      <alignment horizontal="right"/>
    </xf>
    <xf numFmtId="170" fontId="30" fillId="0" borderId="0" xfId="3" applyFont="1" applyFill="1" applyBorder="1" applyAlignment="1" applyProtection="1">
      <alignment horizontal="right"/>
    </xf>
    <xf numFmtId="170" fontId="30" fillId="0" borderId="37" xfId="3" applyFont="1" applyFill="1" applyBorder="1" applyAlignment="1" applyProtection="1">
      <alignment horizontal="right"/>
    </xf>
    <xf numFmtId="170" fontId="32" fillId="0" borderId="39" xfId="3" applyFont="1" applyFill="1" applyBorder="1" applyAlignment="1" applyProtection="1">
      <alignment horizontal="right"/>
    </xf>
    <xf numFmtId="170" fontId="27" fillId="14" borderId="33" xfId="3" applyFont="1" applyFill="1" applyBorder="1" applyAlignment="1" applyProtection="1">
      <alignment horizontal="center" wrapText="1"/>
    </xf>
    <xf numFmtId="170" fontId="27" fillId="14" borderId="34" xfId="3" applyFont="1" applyFill="1" applyBorder="1" applyAlignment="1" applyProtection="1">
      <alignment horizontal="center" wrapText="1"/>
    </xf>
    <xf numFmtId="170" fontId="27" fillId="14" borderId="35" xfId="3" applyFont="1" applyFill="1" applyBorder="1" applyAlignment="1" applyProtection="1">
      <alignment horizontal="center" wrapText="1"/>
    </xf>
    <xf numFmtId="170" fontId="49" fillId="0" borderId="0" xfId="3" applyFont="1" applyFill="1" applyBorder="1" applyAlignment="1" applyProtection="1">
      <alignment horizontal="center"/>
    </xf>
    <xf numFmtId="170" fontId="49" fillId="0" borderId="37" xfId="3" applyFont="1" applyFill="1" applyBorder="1" applyAlignment="1" applyProtection="1">
      <alignment horizontal="center"/>
    </xf>
    <xf numFmtId="170" fontId="26" fillId="18" borderId="41" xfId="3" applyFont="1" applyFill="1" applyBorder="1" applyAlignment="1" applyProtection="1">
      <alignment horizontal="center"/>
    </xf>
    <xf numFmtId="170" fontId="29" fillId="0" borderId="33" xfId="3" applyFont="1" applyFill="1" applyBorder="1" applyAlignment="1" applyProtection="1">
      <alignment horizontal="right"/>
    </xf>
    <xf numFmtId="170" fontId="29" fillId="0" borderId="35" xfId="3" applyFont="1" applyFill="1" applyBorder="1" applyAlignment="1" applyProtection="1">
      <alignment horizontal="right"/>
    </xf>
    <xf numFmtId="170" fontId="29" fillId="0" borderId="34" xfId="3" applyFont="1" applyFill="1" applyBorder="1" applyAlignment="1" applyProtection="1">
      <alignment horizontal="right"/>
    </xf>
    <xf numFmtId="170" fontId="29" fillId="0" borderId="33" xfId="3" applyFont="1" applyFill="1" applyBorder="1" applyAlignment="1" applyProtection="1">
      <alignment horizontal="center"/>
    </xf>
    <xf numFmtId="170" fontId="29" fillId="0" borderId="34" xfId="3" applyFont="1" applyFill="1" applyBorder="1" applyAlignment="1" applyProtection="1">
      <alignment horizontal="center"/>
    </xf>
    <xf numFmtId="170" fontId="29" fillId="0" borderId="35" xfId="3" applyFont="1" applyFill="1" applyBorder="1" applyAlignment="1" applyProtection="1">
      <alignment horizontal="center"/>
    </xf>
    <xf numFmtId="170" fontId="30" fillId="0" borderId="36" xfId="3" applyFont="1" applyFill="1" applyBorder="1" applyAlignment="1" applyProtection="1">
      <alignment horizontal="center"/>
    </xf>
    <xf numFmtId="170" fontId="30" fillId="0" borderId="0" xfId="3" applyFont="1" applyFill="1" applyBorder="1" applyAlignment="1" applyProtection="1">
      <alignment horizontal="center"/>
    </xf>
    <xf numFmtId="170" fontId="30" fillId="0" borderId="37" xfId="3" applyFont="1" applyFill="1" applyBorder="1" applyAlignment="1" applyProtection="1">
      <alignment horizontal="center"/>
    </xf>
    <xf numFmtId="170" fontId="24" fillId="13" borderId="33" xfId="3" applyFont="1" applyFill="1" applyBorder="1" applyAlignment="1" applyProtection="1">
      <alignment horizontal="center" wrapText="1"/>
    </xf>
    <xf numFmtId="170" fontId="24" fillId="13" borderId="34" xfId="3" applyFont="1" applyFill="1" applyBorder="1" applyAlignment="1" applyProtection="1">
      <alignment horizontal="center" wrapText="1"/>
    </xf>
    <xf numFmtId="170" fontId="24" fillId="13" borderId="35" xfId="3" applyFont="1" applyFill="1" applyBorder="1" applyAlignment="1" applyProtection="1">
      <alignment horizontal="center" wrapText="1"/>
    </xf>
    <xf numFmtId="0" fontId="53" fillId="8" borderId="0" xfId="7" applyFont="1" applyFill="1" applyAlignment="1"/>
    <xf numFmtId="170" fontId="32" fillId="0" borderId="37" xfId="3" applyFont="1" applyFill="1" applyBorder="1" applyAlignment="1" applyProtection="1">
      <alignment horizontal="center"/>
    </xf>
    <xf numFmtId="170" fontId="32" fillId="0" borderId="40" xfId="3" applyFont="1" applyFill="1" applyBorder="1" applyAlignment="1" applyProtection="1">
      <alignment horizontal="center"/>
    </xf>
    <xf numFmtId="170" fontId="29" fillId="0" borderId="37" xfId="3" applyFont="1" applyFill="1" applyBorder="1" applyAlignment="1" applyProtection="1">
      <alignment horizontal="left"/>
    </xf>
    <xf numFmtId="0" fontId="43" fillId="0" borderId="0" xfId="0" applyFont="1" applyAlignment="1">
      <alignment horizontal="left" vertical="top" wrapText="1"/>
    </xf>
    <xf numFmtId="0" fontId="3" fillId="0" borderId="34" xfId="0" applyFont="1" applyBorder="1" applyAlignment="1">
      <alignment horizontal="center" vertical="center"/>
    </xf>
    <xf numFmtId="0" fontId="0" fillId="0" borderId="36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0" fillId="0" borderId="0" xfId="0" applyFont="1" applyAlignment="1">
      <alignment horizontal="center" vertical="center"/>
    </xf>
    <xf numFmtId="0" fontId="53" fillId="8" borderId="34" xfId="7" applyFont="1" applyFill="1" applyBorder="1" applyAlignment="1">
      <alignment horizontal="left" wrapText="1"/>
    </xf>
    <xf numFmtId="0" fontId="53" fillId="8" borderId="35" xfId="7" applyFont="1" applyFill="1" applyBorder="1" applyAlignment="1">
      <alignment horizontal="left" wrapText="1"/>
    </xf>
    <xf numFmtId="0" fontId="54" fillId="28" borderId="33" xfId="7" applyFont="1" applyFill="1" applyBorder="1"/>
    <xf numFmtId="0" fontId="54" fillId="28" borderId="36" xfId="7" applyFont="1" applyFill="1" applyBorder="1"/>
    <xf numFmtId="174" fontId="63" fillId="21" borderId="39" xfId="8" applyNumberFormat="1" applyFont="1" applyFill="1" applyBorder="1" applyAlignment="1">
      <alignment horizontal="center" vertical="center"/>
    </xf>
    <xf numFmtId="0" fontId="53" fillId="8" borderId="36" xfId="7" applyFont="1" applyFill="1" applyBorder="1" applyAlignment="1">
      <alignment wrapText="1"/>
    </xf>
    <xf numFmtId="0" fontId="53" fillId="8" borderId="0" xfId="7" applyFont="1" applyFill="1" applyBorder="1" applyAlignment="1">
      <alignment wrapText="1"/>
    </xf>
    <xf numFmtId="0" fontId="52" fillId="0" borderId="37" xfId="7" applyBorder="1"/>
    <xf numFmtId="0" fontId="53" fillId="8" borderId="34" xfId="7" applyFont="1" applyFill="1" applyBorder="1" applyAlignment="1">
      <alignment wrapText="1"/>
    </xf>
    <xf numFmtId="0" fontId="53" fillId="8" borderId="35" xfId="7" applyFont="1" applyFill="1" applyBorder="1" applyAlignment="1">
      <alignment wrapText="1"/>
    </xf>
    <xf numFmtId="0" fontId="53" fillId="8" borderId="34" xfId="7" applyFont="1" applyFill="1" applyBorder="1" applyAlignment="1">
      <alignment horizontal="center" vertical="top" wrapText="1"/>
    </xf>
    <xf numFmtId="0" fontId="53" fillId="8" borderId="35" xfId="7" applyFont="1" applyFill="1" applyBorder="1" applyAlignment="1">
      <alignment horizontal="center" vertical="top" wrapText="1"/>
    </xf>
    <xf numFmtId="0" fontId="56" fillId="24" borderId="36" xfId="7" applyFont="1" applyFill="1" applyBorder="1" applyAlignment="1">
      <alignment horizontal="center" vertical="center"/>
    </xf>
    <xf numFmtId="0" fontId="56" fillId="24" borderId="37" xfId="7" applyFont="1" applyFill="1" applyBorder="1" applyAlignment="1">
      <alignment horizontal="center" vertical="center"/>
    </xf>
    <xf numFmtId="0" fontId="57" fillId="0" borderId="35" xfId="7" applyFont="1" applyFill="1" applyBorder="1" applyAlignment="1">
      <alignment horizontal="center" vertical="center" wrapText="1"/>
    </xf>
    <xf numFmtId="0" fontId="57" fillId="0" borderId="37" xfId="7" applyFont="1" applyFill="1" applyBorder="1" applyAlignment="1">
      <alignment horizontal="center" vertical="center" wrapText="1"/>
    </xf>
    <xf numFmtId="0" fontId="57" fillId="0" borderId="40" xfId="7" applyFont="1" applyFill="1" applyBorder="1" applyAlignment="1">
      <alignment horizontal="center" vertical="center" wrapText="1"/>
    </xf>
    <xf numFmtId="164" fontId="67" fillId="24" borderId="36" xfId="8" applyNumberFormat="1" applyFont="1" applyFill="1" applyBorder="1" applyAlignment="1">
      <alignment horizontal="center" vertical="center"/>
    </xf>
    <xf numFmtId="164" fontId="67" fillId="24" borderId="37" xfId="8" applyNumberFormat="1" applyFont="1" applyFill="1" applyBorder="1" applyAlignment="1">
      <alignment horizontal="center" vertical="center"/>
    </xf>
    <xf numFmtId="174" fontId="65" fillId="0" borderId="36" xfId="8" applyNumberFormat="1" applyFont="1" applyFill="1" applyBorder="1" applyAlignment="1">
      <alignment horizontal="center" vertical="center"/>
    </xf>
    <xf numFmtId="174" fontId="65" fillId="0" borderId="38" xfId="8" applyNumberFormat="1" applyFont="1" applyFill="1" applyBorder="1" applyAlignment="1">
      <alignment horizontal="center" vertical="center"/>
    </xf>
    <xf numFmtId="175" fontId="56" fillId="24" borderId="36" xfId="7" applyNumberFormat="1" applyFont="1" applyFill="1" applyBorder="1" applyAlignment="1">
      <alignment horizontal="center" vertical="center"/>
    </xf>
    <xf numFmtId="175" fontId="56" fillId="24" borderId="37" xfId="7" applyNumberFormat="1" applyFont="1" applyFill="1" applyBorder="1" applyAlignment="1">
      <alignment horizontal="center" vertical="center"/>
    </xf>
    <xf numFmtId="0" fontId="54" fillId="13" borderId="36" xfId="7" applyFont="1" applyFill="1" applyBorder="1" applyAlignment="1">
      <alignment horizontal="center"/>
    </xf>
    <xf numFmtId="0" fontId="54" fillId="13" borderId="37" xfId="7" applyFont="1" applyFill="1" applyBorder="1" applyAlignment="1">
      <alignment horizontal="center"/>
    </xf>
    <xf numFmtId="174" fontId="63" fillId="13" borderId="38" xfId="8" applyNumberFormat="1" applyFont="1" applyFill="1" applyBorder="1" applyAlignment="1">
      <alignment horizontal="center" vertical="center"/>
    </xf>
    <xf numFmtId="174" fontId="63" fillId="13" borderId="40" xfId="8" applyNumberFormat="1" applyFont="1" applyFill="1" applyBorder="1" applyAlignment="1">
      <alignment horizontal="center" vertical="center"/>
    </xf>
    <xf numFmtId="174" fontId="63" fillId="21" borderId="36" xfId="8" applyNumberFormat="1" applyFont="1" applyFill="1" applyBorder="1" applyAlignment="1">
      <alignment horizontal="center" vertical="center"/>
    </xf>
    <xf numFmtId="174" fontId="63" fillId="21" borderId="37" xfId="8" applyNumberFormat="1" applyFont="1" applyFill="1" applyBorder="1" applyAlignment="1">
      <alignment horizontal="center" vertical="center"/>
    </xf>
    <xf numFmtId="0" fontId="54" fillId="21" borderId="36" xfId="7" applyFont="1" applyFill="1" applyBorder="1" applyAlignment="1">
      <alignment horizontal="center" wrapText="1"/>
    </xf>
    <xf numFmtId="0" fontId="54" fillId="21" borderId="37" xfId="7" applyFont="1" applyFill="1" applyBorder="1" applyAlignment="1">
      <alignment horizontal="center" wrapText="1"/>
    </xf>
    <xf numFmtId="0" fontId="52" fillId="0" borderId="34" xfId="7" applyFill="1" applyBorder="1" applyAlignment="1">
      <alignment horizontal="center" vertical="center"/>
    </xf>
    <xf numFmtId="0" fontId="52" fillId="0" borderId="0" xfId="7" applyFill="1" applyBorder="1" applyAlignment="1">
      <alignment horizontal="center" vertical="center"/>
    </xf>
    <xf numFmtId="0" fontId="52" fillId="0" borderId="39" xfId="7" applyFill="1" applyBorder="1" applyAlignment="1">
      <alignment horizontal="center" vertical="center"/>
    </xf>
  </cellXfs>
  <cellStyles count="9">
    <cellStyle name="Excel Built-in Normal" xfId="2" xr:uid="{00000000-0005-0000-0000-000000000000}"/>
    <cellStyle name="Excel Built-in Normal 1" xfId="1" xr:uid="{00000000-0005-0000-0000-000001000000}"/>
    <cellStyle name="Excel Built-in Normal 2" xfId="3" xr:uid="{00000000-0005-0000-0000-000002000000}"/>
    <cellStyle name="Normale" xfId="0" builtinId="0"/>
    <cellStyle name="Normale 2" xfId="4" xr:uid="{00000000-0005-0000-0000-000004000000}"/>
    <cellStyle name="Normale 3" xfId="7" xr:uid="{00000000-0005-0000-0000-000005000000}"/>
    <cellStyle name="Percentuale" xfId="6" builtinId="5"/>
    <cellStyle name="Percentuale 2" xfId="5" xr:uid="{00000000-0005-0000-0000-000007000000}"/>
    <cellStyle name="Valuta 2" xfId="8" xr:uid="{00000000-0005-0000-0000-000008000000}"/>
  </cellStyles>
  <dxfs count="0"/>
  <tableStyles count="0" defaultTableStyle="TableStyleMedium2" defaultPivotStyle="PivotStyleLight16"/>
  <colors>
    <mruColors>
      <color rgb="FFB874BA"/>
      <color rgb="FFCC66FF"/>
      <color rgb="FF9900CC"/>
      <color rgb="FFCCFFCC"/>
      <color rgb="FF99FFCC"/>
      <color rgb="FFFF99CC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3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9.xml"/><Relationship Id="rId1" Type="http://schemas.openxmlformats.org/officeDocument/2006/relationships/themeOverride" Target="../theme/themeOverride5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0.xml"/><Relationship Id="rId1" Type="http://schemas.openxmlformats.org/officeDocument/2006/relationships/themeOverride" Target="../theme/themeOverride6.xml"/></Relationships>
</file>

<file path=xl/charts/_rels/chart4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1.xml"/><Relationship Id="rId1" Type="http://schemas.openxmlformats.org/officeDocument/2006/relationships/themeOverride" Target="../theme/themeOverride7.xml"/></Relationships>
</file>

<file path=xl/charts/_rels/chart4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2.xml"/><Relationship Id="rId1" Type="http://schemas.openxmlformats.org/officeDocument/2006/relationships/themeOverride" Target="../theme/themeOverride8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800" b="1">
                <a:solidFill>
                  <a:schemeClr val="accent6">
                    <a:lumMod val="50000"/>
                  </a:schemeClr>
                </a:solidFill>
              </a:rPr>
              <a:t>Dimensione</a:t>
            </a:r>
            <a:r>
              <a:rPr lang="it-IT" sz="2800" b="1" baseline="0">
                <a:solidFill>
                  <a:schemeClr val="accent6">
                    <a:lumMod val="50000"/>
                  </a:schemeClr>
                </a:solidFill>
              </a:rPr>
              <a:t> Ambientale</a:t>
            </a:r>
            <a:endParaRPr lang="it-IT" sz="2800" b="1">
              <a:solidFill>
                <a:schemeClr val="accent6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9781901934142474"/>
          <c:y val="0.755348738381511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918056464886116"/>
          <c:y val="8.2459716714967171E-3"/>
          <c:w val="0.4630828958880141"/>
          <c:h val="0.77180482648002358"/>
        </c:manualLayout>
      </c:layout>
      <c:doughnutChart>
        <c:varyColors val="1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EAF-4D3E-9A77-D13075BE1527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EAF-4D3E-9A77-D13075BE1527}"/>
              </c:ext>
            </c:extLst>
          </c:dPt>
          <c:val>
            <c:numRef>
              <c:f>'motore valutazione'!$K$3:$K$4</c:f>
              <c:numCache>
                <c:formatCode>0%</c:formatCode>
                <c:ptCount val="2"/>
                <c:pt idx="0">
                  <c:v>1.675</c:v>
                </c:pt>
                <c:pt idx="1">
                  <c:v>0.32499999999999996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AF-4D3E-9A77-D13075BE15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100000">
          <a:schemeClr val="accent6">
            <a:lumMod val="20000"/>
            <a:lumOff val="80000"/>
          </a:schemeClr>
        </a:gs>
        <a:gs pos="0">
          <a:schemeClr val="accent6">
            <a:lumMod val="60000"/>
            <a:lumOff val="4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valutazione'!$D$26:$D$31</c:f>
              <c:strCache>
                <c:ptCount val="6"/>
                <c:pt idx="0">
                  <c:v>1.4.1. Fertilita'</c:v>
                </c:pt>
                <c:pt idx="1">
                  <c:v>1.4.2. Incremento ponderale giornaliero</c:v>
                </c:pt>
                <c:pt idx="2">
                  <c:v>1.4.3. Efficienza razione foraggera</c:v>
                </c:pt>
                <c:pt idx="3">
                  <c:v>1.4.4. Tasso di riforma involontaria</c:v>
                </c:pt>
                <c:pt idx="4">
                  <c:v>1.4.5. Qualita' del latte</c:v>
                </c:pt>
                <c:pt idx="5">
                  <c:v>1.4.6. Rapporto omega6/omega3</c:v>
                </c:pt>
              </c:strCache>
            </c:strRef>
          </c:cat>
          <c:val>
            <c:numRef>
              <c:f>'motore valutazione'!$F$26:$F$31</c:f>
              <c:numCache>
                <c:formatCode>0%</c:formatCode>
                <c:ptCount val="6"/>
                <c:pt idx="0">
                  <c:v>0.21000000000000002</c:v>
                </c:pt>
                <c:pt idx="1">
                  <c:v>0.11</c:v>
                </c:pt>
                <c:pt idx="2">
                  <c:v>0.21000000000000002</c:v>
                </c:pt>
                <c:pt idx="3">
                  <c:v>0.11</c:v>
                </c:pt>
                <c:pt idx="4">
                  <c:v>0.21000000000000002</c:v>
                </c:pt>
                <c:pt idx="5">
                  <c:v>0.21000000000000002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A2-4A48-AF3D-A5979358F8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118328"/>
        <c:axId val="483121856"/>
      </c:barChart>
      <c:catAx>
        <c:axId val="483118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3121856"/>
        <c:crosses val="autoZero"/>
        <c:auto val="1"/>
        <c:lblAlgn val="ctr"/>
        <c:lblOffset val="100"/>
        <c:noMultiLvlLbl val="0"/>
      </c:catAx>
      <c:valAx>
        <c:axId val="483121856"/>
        <c:scaling>
          <c:orientation val="minMax"/>
          <c:max val="0.3000000000000001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3118328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4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800" b="1">
                <a:solidFill>
                  <a:schemeClr val="accent4">
                    <a:lumMod val="75000"/>
                  </a:schemeClr>
                </a:solidFill>
              </a:rPr>
              <a:t>Dimensione</a:t>
            </a:r>
            <a:r>
              <a:rPr lang="it-IT" sz="2800" b="1" baseline="0">
                <a:solidFill>
                  <a:schemeClr val="accent4">
                    <a:lumMod val="75000"/>
                  </a:schemeClr>
                </a:solidFill>
              </a:rPr>
              <a:t> Etica</a:t>
            </a:r>
            <a:endParaRPr lang="it-IT" sz="2800" b="1">
              <a:solidFill>
                <a:schemeClr val="accent4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53999775597051547"/>
          <c:y val="0.7801422284559953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7831511115211423"/>
          <c:y val="8.2460361584475485E-3"/>
          <c:w val="0.4630828958880141"/>
          <c:h val="0.77180482648002358"/>
        </c:manualLayout>
      </c:layout>
      <c:doughnut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F30-4DCA-BF44-6C0D8DD6F505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F30-4DCA-BF44-6C0D8DD6F505}"/>
              </c:ext>
            </c:extLst>
          </c:dPt>
          <c:val>
            <c:numRef>
              <c:f>'motore valutazione'!$K$33:$K$34</c:f>
              <c:numCache>
                <c:formatCode>0%</c:formatCode>
                <c:ptCount val="2"/>
                <c:pt idx="0">
                  <c:v>1.3864999999999998</c:v>
                </c:pt>
                <c:pt idx="1">
                  <c:v>0.61350000000000016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30-4DCA-BF44-6C0D8DD6F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4">
            <a:lumMod val="20000"/>
            <a:lumOff val="80000"/>
          </a:schemeClr>
        </a:gs>
        <a:gs pos="56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accent4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'motore valutazione'!$C$33</c:f>
          <c:strCache>
            <c:ptCount val="1"/>
            <c:pt idx="0">
              <c:v>Ambienti di allevamento</c:v>
            </c:pt>
          </c:strCache>
        </c:strRef>
      </c:tx>
      <c:layout>
        <c:manualLayout>
          <c:xMode val="edge"/>
          <c:yMode val="edge"/>
          <c:x val="0.23749444274708481"/>
          <c:y val="2.4502113765377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4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87943042254895"/>
          <c:y val="0.29359305087286108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FB3-433E-BDBE-6BA8D66D80F3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FB3-433E-BDBE-6BA8D66D80F3}"/>
              </c:ext>
            </c:extLst>
          </c:dPt>
          <c:val>
            <c:numRef>
              <c:f>'motore valutazione'!$I$34:$I$35</c:f>
              <c:numCache>
                <c:formatCode>0%</c:formatCode>
                <c:ptCount val="2"/>
                <c:pt idx="0">
                  <c:v>0.44999999999999996</c:v>
                </c:pt>
                <c:pt idx="1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B3-433E-BDBE-6BA8D66D80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4">
            <a:lumMod val="20000"/>
            <a:lumOff val="80000"/>
          </a:schemeClr>
        </a:gs>
        <a:gs pos="54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800" b="1">
                <a:solidFill>
                  <a:schemeClr val="accent5">
                    <a:lumMod val="50000"/>
                  </a:schemeClr>
                </a:solidFill>
              </a:rPr>
              <a:t>Valutazione Complessiva</a:t>
            </a:r>
          </a:p>
        </c:rich>
      </c:tx>
      <c:layout>
        <c:manualLayout>
          <c:xMode val="edge"/>
          <c:yMode val="edge"/>
          <c:x val="0.31800670925024394"/>
          <c:y val="4.640206281093138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53439379424772493"/>
          <c:y val="0.19979083316545007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CB8-40B6-8A5B-CA1E452EFBF1}"/>
              </c:ext>
            </c:extLst>
          </c:dPt>
          <c:dPt>
            <c:idx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CB8-40B6-8A5B-CA1E452EFBF1}"/>
              </c:ext>
            </c:extLst>
          </c:dPt>
          <c:val>
            <c:numRef>
              <c:f>'motore valutazione'!$L$3:$L$4</c:f>
              <c:numCache>
                <c:formatCode>\+0%</c:formatCode>
                <c:ptCount val="2"/>
                <c:pt idx="0">
                  <c:v>1.4966249999999999</c:v>
                </c:pt>
                <c:pt idx="1">
                  <c:v>0.50337500000000013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B8-40B6-8A5B-CA1E452EF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accent1">
            <a:lumMod val="20000"/>
            <a:lumOff val="8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087533011743"/>
          <c:y val="3.1063130643255846E-2"/>
          <c:w val="0.57880233991827967"/>
          <c:h val="0.93787373871348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valutazione'!$D$34:$D$36</c:f>
              <c:strCache>
                <c:ptCount val="3"/>
                <c:pt idx="0">
                  <c:v>2.1.1. Benessere nei sistemi bradi e semibradi</c:v>
                </c:pt>
                <c:pt idx="1">
                  <c:v>2.1.2. Adeguatezza strutture e impianti</c:v>
                </c:pt>
                <c:pt idx="2">
                  <c:v>2.1.3. Paddock</c:v>
                </c:pt>
              </c:strCache>
            </c:strRef>
          </c:cat>
          <c:val>
            <c:numRef>
              <c:f>'motore valutazione'!$F$34:$F$36</c:f>
              <c:numCache>
                <c:formatCode>0%</c:formatCode>
                <c:ptCount val="3"/>
                <c:pt idx="0">
                  <c:v>0.01</c:v>
                </c:pt>
                <c:pt idx="1">
                  <c:v>-0.44</c:v>
                </c:pt>
                <c:pt idx="2">
                  <c:v>-9.0000000000000011E-2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4-4385-8604-6297888CE4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121072"/>
        <c:axId val="483121464"/>
      </c:barChart>
      <c:catAx>
        <c:axId val="483121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3121464"/>
        <c:crosses val="autoZero"/>
        <c:auto val="1"/>
        <c:lblAlgn val="ctr"/>
        <c:lblOffset val="100"/>
        <c:noMultiLvlLbl val="0"/>
      </c:catAx>
      <c:valAx>
        <c:axId val="483121464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3121072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'motore valutazione'!$C$37</c:f>
          <c:strCache>
            <c:ptCount val="1"/>
            <c:pt idx="0">
              <c:v>Gestione zootecnica</c:v>
            </c:pt>
          </c:strCache>
        </c:strRef>
      </c:tx>
      <c:layout>
        <c:manualLayout>
          <c:xMode val="edge"/>
          <c:yMode val="edge"/>
          <c:x val="0.23749444274708481"/>
          <c:y val="2.4502113765377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4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7F-4DAA-AD6C-098193507F88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17F-4DAA-AD6C-098193507F88}"/>
              </c:ext>
            </c:extLst>
          </c:dPt>
          <c:val>
            <c:numRef>
              <c:f>'motore valutazione'!$I$38:$I$39</c:f>
              <c:numCache>
                <c:formatCode>0%</c:formatCode>
                <c:ptCount val="2"/>
                <c:pt idx="0">
                  <c:v>1.2999999999999998</c:v>
                </c:pt>
                <c:pt idx="1">
                  <c:v>0.70000000000000018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F-4DAA-AD6C-098193507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4">
            <a:lumMod val="20000"/>
            <a:lumOff val="80000"/>
          </a:schemeClr>
        </a:gs>
        <a:gs pos="54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valutazione'!$D$38:$D$44</c:f>
              <c:strCache>
                <c:ptCount val="7"/>
                <c:pt idx="0">
                  <c:v>2.2.1. Razione alimentare</c:v>
                </c:pt>
                <c:pt idx="1">
                  <c:v>2.2.2. Gestione dell’alimentazione</c:v>
                </c:pt>
                <c:pt idx="2">
                  <c:v>2.2.3. Sviluppo corporeo della giovane femmina alla prima fecondazione</c:v>
                </c:pt>
                <c:pt idx="3">
                  <c:v>2.2.4. Gestione dei giovani animali</c:v>
                </c:pt>
                <c:pt idx="4">
                  <c:v>2.2.5. Attenzione agli animali anziani</c:v>
                </c:pt>
                <c:pt idx="5">
                  <c:v>2.2.6. Gestione parto e post-partum</c:v>
                </c:pt>
                <c:pt idx="6">
                  <c:v>2.2.7. Gestione della relazione madre-figlio</c:v>
                </c:pt>
              </c:strCache>
            </c:strRef>
          </c:cat>
          <c:val>
            <c:numRef>
              <c:f>'motore valutazione'!$F$38:$F$44</c:f>
              <c:numCache>
                <c:formatCode>0%</c:formatCode>
                <c:ptCount val="7"/>
                <c:pt idx="0">
                  <c:v>-0.19</c:v>
                </c:pt>
                <c:pt idx="1">
                  <c:v>6.0000000000000005E-2</c:v>
                </c:pt>
                <c:pt idx="2">
                  <c:v>0.01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5-4D66-9AAC-606B9F6F9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115584"/>
        <c:axId val="483117152"/>
      </c:barChart>
      <c:catAx>
        <c:axId val="48311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3117152"/>
        <c:crosses val="autoZero"/>
        <c:auto val="1"/>
        <c:lblAlgn val="ctr"/>
        <c:lblOffset val="100"/>
        <c:noMultiLvlLbl val="0"/>
      </c:catAx>
      <c:valAx>
        <c:axId val="483117152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3115584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'motore valutazione'!$C$45</c:f>
          <c:strCache>
            <c:ptCount val="1"/>
            <c:pt idx="0">
              <c:v>Etologia collabrativa</c:v>
            </c:pt>
          </c:strCache>
        </c:strRef>
      </c:tx>
      <c:layout>
        <c:manualLayout>
          <c:xMode val="edge"/>
          <c:yMode val="edge"/>
          <c:x val="0.23749444274708481"/>
          <c:y val="2.4502113765377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2000" b="1" i="0" u="none" strike="noStrike" kern="1200" spc="0" baseline="0">
              <a:solidFill>
                <a:schemeClr val="accent4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3182372838"/>
          <c:y val="0.30057605047146868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42-4B61-B6EA-1B8FCBBEF38D}"/>
              </c:ext>
            </c:extLst>
          </c:dPt>
          <c:dPt>
            <c:idx val="1"/>
            <c:bubble3D val="0"/>
            <c:spPr>
              <a:solidFill>
                <a:schemeClr val="accent4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42-4B61-B6EA-1B8FCBBEF38D}"/>
              </c:ext>
            </c:extLst>
          </c:dPt>
          <c:val>
            <c:numRef>
              <c:f>'motore valutazione'!$I$46:$I$47</c:f>
              <c:numCache>
                <c:formatCode>0%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242-4B61-B6EA-1B8FCBBEF3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4">
            <a:lumMod val="20000"/>
            <a:lumOff val="80000"/>
          </a:schemeClr>
        </a:gs>
        <a:gs pos="54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valutazione'!$D$46:$D$48</c:f>
              <c:strCache>
                <c:ptCount val="3"/>
                <c:pt idx="0">
                  <c:v>2.3.1. Attenzione e tempo dedicati all’osservazione degli animali</c:v>
                </c:pt>
                <c:pt idx="1">
                  <c:v>2.3.2. Interazione persona-animale</c:v>
                </c:pt>
                <c:pt idx="2">
                  <c:v>2.3.3. Contenimento e manualita'</c:v>
                </c:pt>
              </c:strCache>
            </c:strRef>
          </c:cat>
          <c:val>
            <c:numRef>
              <c:f>'motore valutazione'!$F$46:$F$48</c:f>
              <c:numCache>
                <c:formatCode>0%</c:formatCode>
                <c:ptCount val="3"/>
                <c:pt idx="0">
                  <c:v>0.26</c:v>
                </c:pt>
                <c:pt idx="1">
                  <c:v>0.51</c:v>
                </c:pt>
                <c:pt idx="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A-4C12-93E9-6186B45457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119896"/>
        <c:axId val="266125480"/>
      </c:barChart>
      <c:catAx>
        <c:axId val="483119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6125480"/>
        <c:crosses val="autoZero"/>
        <c:auto val="1"/>
        <c:lblAlgn val="ctr"/>
        <c:lblOffset val="100"/>
        <c:noMultiLvlLbl val="0"/>
      </c:catAx>
      <c:valAx>
        <c:axId val="266125480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3119896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800" b="1">
                <a:solidFill>
                  <a:schemeClr val="accent2">
                    <a:lumMod val="75000"/>
                  </a:schemeClr>
                </a:solidFill>
              </a:rPr>
              <a:t>Dimensione</a:t>
            </a:r>
            <a:r>
              <a:rPr lang="it-IT" sz="2800" b="1" baseline="0">
                <a:solidFill>
                  <a:schemeClr val="accent2">
                    <a:lumMod val="75000"/>
                  </a:schemeClr>
                </a:solidFill>
              </a:rPr>
              <a:t> Socio Economica</a:t>
            </a:r>
            <a:endParaRPr lang="it-IT" sz="2800" b="1">
              <a:solidFill>
                <a:schemeClr val="accent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40106899793551942"/>
          <c:y val="0.765493448274760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7831511115211423"/>
          <c:y val="8.2460361584475485E-3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57C-4F46-90B7-30CAAC61A7AD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57C-4F46-90B7-30CAAC61A7AD}"/>
              </c:ext>
            </c:extLst>
          </c:dPt>
          <c:val>
            <c:numRef>
              <c:f>'motore valutazione'!$K$54:$K$55</c:f>
              <c:numCache>
                <c:formatCode>0%</c:formatCode>
                <c:ptCount val="2"/>
                <c:pt idx="0">
                  <c:v>1.25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7C-4F46-90B7-30CAAC61A7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2">
            <a:lumMod val="20000"/>
            <a:lumOff val="80000"/>
          </a:schemeClr>
        </a:gs>
        <a:gs pos="96000">
          <a:schemeClr val="accent2">
            <a:lumMod val="60000"/>
            <a:lumOff val="40000"/>
          </a:schemeClr>
        </a:gs>
      </a:gsLst>
      <a:lin ang="5400000" scaled="1"/>
    </a:gradFill>
    <a:ln w="9525" cap="flat" cmpd="sng" algn="ctr">
      <a:solidFill>
        <a:schemeClr val="accent4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'motore valutazione'!$C$2</c:f>
          <c:strCache>
            <c:ptCount val="1"/>
            <c:pt idx="0">
              <c:v>Aria acqua suolo </c:v>
            </c:pt>
          </c:strCache>
        </c:strRef>
      </c:tx>
      <c:layout>
        <c:manualLayout>
          <c:xMode val="edge"/>
          <c:yMode val="edge"/>
          <c:x val="0.1214177205122087"/>
          <c:y val="1.128469406440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941-4B6C-B90D-7B8370061471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941-4B6C-B90D-7B8370061471}"/>
              </c:ext>
            </c:extLst>
          </c:dPt>
          <c:val>
            <c:numRef>
              <c:f>'motore valutazione'!$I$3:$I$4</c:f>
              <c:numCache>
                <c:formatCode>0%</c:formatCode>
                <c:ptCount val="2"/>
                <c:pt idx="0">
                  <c:v>1.75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941-4B6C-B90D-7B8370061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4100">
          <a:schemeClr val="accent6">
            <a:lumMod val="40000"/>
            <a:lumOff val="60000"/>
          </a:schemeClr>
        </a:gs>
        <a:gs pos="100000">
          <a:schemeClr val="accent6">
            <a:lumMod val="20000"/>
            <a:lumOff val="80000"/>
          </a:schemeClr>
        </a:gs>
        <a:gs pos="0">
          <a:schemeClr val="accent6">
            <a:lumMod val="60000"/>
            <a:lumOff val="4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'motore valutazione'!$C$53</c:f>
          <c:strCache>
            <c:ptCount val="1"/>
            <c:pt idx="0">
              <c:v>Socio-Territoriale</c:v>
            </c:pt>
          </c:strCache>
        </c:strRef>
      </c:tx>
      <c:layout>
        <c:manualLayout>
          <c:xMode val="edge"/>
          <c:yMode val="edge"/>
          <c:x val="0.23749444274708481"/>
          <c:y val="2.4502113765377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87943042254895"/>
          <c:y val="0.29359305087286108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18-411E-8BA9-C9A00E63EFB6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18-411E-8BA9-C9A00E63EFB6}"/>
              </c:ext>
            </c:extLst>
          </c:dPt>
          <c:val>
            <c:numRef>
              <c:f>'motore valutazione'!$I$54:$I$55</c:f>
              <c:numCache>
                <c:formatCode>0%</c:formatCode>
                <c:ptCount val="2"/>
                <c:pt idx="0">
                  <c:v>1.5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B18-411E-8BA9-C9A00E63E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2">
            <a:lumMod val="20000"/>
            <a:lumOff val="80000"/>
          </a:schemeClr>
        </a:gs>
        <a:gs pos="54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800" b="1">
                <a:solidFill>
                  <a:schemeClr val="accent5">
                    <a:lumMod val="50000"/>
                  </a:schemeClr>
                </a:solidFill>
              </a:rPr>
              <a:t>Valutazione Complessiva</a:t>
            </a:r>
          </a:p>
        </c:rich>
      </c:tx>
      <c:layout>
        <c:manualLayout>
          <c:xMode val="edge"/>
          <c:yMode val="edge"/>
          <c:x val="0.31800670925024394"/>
          <c:y val="4.640206281093138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53439379424772493"/>
          <c:y val="0.19979083316545007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B9D-4F1F-B322-4B8C896672ED}"/>
              </c:ext>
            </c:extLst>
          </c:dPt>
          <c:dPt>
            <c:idx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B9D-4F1F-B322-4B8C896672ED}"/>
              </c:ext>
            </c:extLst>
          </c:dPt>
          <c:val>
            <c:numRef>
              <c:f>'motore valutazione'!$L$3:$L$4</c:f>
              <c:numCache>
                <c:formatCode>\+0%</c:formatCode>
                <c:ptCount val="2"/>
                <c:pt idx="0">
                  <c:v>1.4966249999999999</c:v>
                </c:pt>
                <c:pt idx="1">
                  <c:v>0.50337500000000013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B9D-4F1F-B322-4B8C896672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accent1">
            <a:lumMod val="20000"/>
            <a:lumOff val="8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95715727481621"/>
          <c:y val="3.1063130643255846E-2"/>
          <c:w val="0.82536939823207467"/>
          <c:h val="0.93787373871348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valutazione'!$D$54:$D$58</c:f>
              <c:strCache>
                <c:ptCount val="5"/>
                <c:pt idx="0">
                  <c:v>3.1.1. Relazioni sul territorio</c:v>
                </c:pt>
                <c:pt idx="1">
                  <c:v>3.1.2. Qualità della vita e del lavoro</c:v>
                </c:pt>
                <c:pt idx="2">
                  <c:v>3.1.3. Conflitto intergenerazionale</c:v>
                </c:pt>
                <c:pt idx="3">
                  <c:v>3.1.4. Formazione operatori aziendali</c:v>
                </c:pt>
                <c:pt idx="4">
                  <c:v>3.1.5. Comunicazione e coordinamento</c:v>
                </c:pt>
              </c:strCache>
            </c:strRef>
          </c:cat>
          <c:val>
            <c:numRef>
              <c:f>'motore valutazione'!$F$54:$F$58</c:f>
              <c:numCache>
                <c:formatCode>0%</c:formatCode>
                <c:ptCount val="5"/>
                <c:pt idx="0">
                  <c:v>0.21000000000000002</c:v>
                </c:pt>
                <c:pt idx="1">
                  <c:v>0.31000000000000005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17-423A-8562-CA9DE1DAC1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123520"/>
        <c:axId val="266121168"/>
      </c:barChart>
      <c:catAx>
        <c:axId val="26612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6121168"/>
        <c:crosses val="autoZero"/>
        <c:auto val="1"/>
        <c:lblAlgn val="ctr"/>
        <c:lblOffset val="100"/>
        <c:noMultiLvlLbl val="0"/>
      </c:catAx>
      <c:valAx>
        <c:axId val="266121168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6123520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'motore valutazione'!$C$59</c:f>
          <c:strCache>
            <c:ptCount val="1"/>
            <c:pt idx="0">
              <c:v>Economica</c:v>
            </c:pt>
          </c:strCache>
        </c:strRef>
      </c:tx>
      <c:layout>
        <c:manualLayout>
          <c:xMode val="edge"/>
          <c:yMode val="edge"/>
          <c:x val="0.23749444274708481"/>
          <c:y val="2.4502113765377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11A-42DA-9C15-16850E61F22F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11A-42DA-9C15-16850E61F22F}"/>
              </c:ext>
            </c:extLst>
          </c:dPt>
          <c:val>
            <c:numRef>
              <c:f>'motore valutazione'!$I$60:$I$61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1A-42DA-9C15-16850E61F2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2">
            <a:lumMod val="20000"/>
            <a:lumOff val="80000"/>
          </a:schemeClr>
        </a:gs>
        <a:gs pos="54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valutazione'!$D$60:$D$62</c:f>
              <c:strCache>
                <c:ptCount val="3"/>
                <c:pt idx="0">
                  <c:v>3.2.1. Produttivita'</c:v>
                </c:pt>
                <c:pt idx="1">
                  <c:v>3.2.2. Efficienza gestionale</c:v>
                </c:pt>
                <c:pt idx="2">
                  <c:v>3.2.3. Vulnerabilita</c:v>
                </c:pt>
              </c:strCache>
            </c:strRef>
          </c:cat>
          <c:val>
            <c:numRef>
              <c:f>'motore valutazione'!$F$60:$F$62</c:f>
              <c:numCache>
                <c:formatCode>0%</c:formatCode>
                <c:ptCount val="3"/>
                <c:pt idx="0">
                  <c:v>-0.29000000000000004</c:v>
                </c:pt>
                <c:pt idx="1">
                  <c:v>0.01</c:v>
                </c:pt>
                <c:pt idx="2">
                  <c:v>0.31000000000000005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3B-42BF-B6FC-5FA2E5904C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6123912"/>
        <c:axId val="266127048"/>
      </c:barChart>
      <c:catAx>
        <c:axId val="266123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6127048"/>
        <c:crosses val="autoZero"/>
        <c:auto val="1"/>
        <c:lblAlgn val="ctr"/>
        <c:lblOffset val="100"/>
        <c:noMultiLvlLbl val="0"/>
      </c:catAx>
      <c:valAx>
        <c:axId val="266127048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6123912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2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800" b="1">
                <a:solidFill>
                  <a:schemeClr val="accent2">
                    <a:lumMod val="75000"/>
                  </a:schemeClr>
                </a:solidFill>
              </a:rPr>
              <a:t>Dimensione</a:t>
            </a:r>
            <a:r>
              <a:rPr lang="it-IT" sz="2800" b="1" baseline="0">
                <a:solidFill>
                  <a:schemeClr val="accent2">
                    <a:lumMod val="75000"/>
                  </a:schemeClr>
                </a:solidFill>
              </a:rPr>
              <a:t> Socio Economica</a:t>
            </a:r>
            <a:endParaRPr lang="it-IT" sz="2800" b="1">
              <a:solidFill>
                <a:schemeClr val="accent2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29820461380218227"/>
          <c:y val="0.81432288843109601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7831511115211423"/>
          <c:y val="8.2460361584475485E-3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E9-4FD7-85CB-034F0996C863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E9-4FD7-85CB-034F0996C863}"/>
              </c:ext>
            </c:extLst>
          </c:dPt>
          <c:val>
            <c:numRef>
              <c:f>'motore valutazione'!$K$54:$K$55</c:f>
              <c:numCache>
                <c:formatCode>0%</c:formatCode>
                <c:ptCount val="2"/>
                <c:pt idx="0">
                  <c:v>1.25</c:v>
                </c:pt>
                <c:pt idx="1">
                  <c:v>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E9-4FD7-85CB-034F0996C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2">
            <a:lumMod val="20000"/>
            <a:lumOff val="80000"/>
          </a:schemeClr>
        </a:gs>
        <a:gs pos="96000">
          <a:schemeClr val="accent2">
            <a:lumMod val="60000"/>
            <a:lumOff val="40000"/>
          </a:schemeClr>
        </a:gs>
      </a:gsLst>
      <a:lin ang="5400000" scaled="1"/>
    </a:gradFill>
    <a:ln w="9525" cap="flat" cmpd="sng" algn="ctr">
      <a:solidFill>
        <a:schemeClr val="accent4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accent4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800" b="1">
                <a:solidFill>
                  <a:schemeClr val="accent4">
                    <a:lumMod val="75000"/>
                  </a:schemeClr>
                </a:solidFill>
              </a:rPr>
              <a:t>Dimensione</a:t>
            </a:r>
            <a:r>
              <a:rPr lang="it-IT" sz="2800" b="1" baseline="0">
                <a:solidFill>
                  <a:schemeClr val="accent4">
                    <a:lumMod val="75000"/>
                  </a:schemeClr>
                </a:solidFill>
              </a:rPr>
              <a:t> Etica</a:t>
            </a:r>
            <a:endParaRPr lang="it-IT" sz="2800" b="1">
              <a:solidFill>
                <a:schemeClr val="accent4">
                  <a:lumMod val="75000"/>
                </a:schemeClr>
              </a:solidFill>
            </a:endParaRPr>
          </a:p>
        </c:rich>
      </c:tx>
      <c:layout>
        <c:manualLayout>
          <c:xMode val="edge"/>
          <c:yMode val="edge"/>
          <c:x val="0.53999775597051547"/>
          <c:y val="0.78014222845599535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47831511115211423"/>
          <c:y val="8.2460361584475485E-3"/>
          <c:w val="0.4630828958880141"/>
          <c:h val="0.77180482648002358"/>
        </c:manualLayout>
      </c:layout>
      <c:doughnutChart>
        <c:varyColors val="1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6F-4E38-8B00-86FAF0FFDC9D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6F-4E38-8B00-86FAF0FFDC9D}"/>
              </c:ext>
            </c:extLst>
          </c:dPt>
          <c:val>
            <c:numRef>
              <c:f>'motore valutazione'!$K$33:$K$34</c:f>
              <c:numCache>
                <c:formatCode>0%</c:formatCode>
                <c:ptCount val="2"/>
                <c:pt idx="0">
                  <c:v>1.3864999999999998</c:v>
                </c:pt>
                <c:pt idx="1">
                  <c:v>0.61350000000000016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6F-4E38-8B00-86FAF0FFD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4">
            <a:lumMod val="20000"/>
            <a:lumOff val="80000"/>
          </a:schemeClr>
        </a:gs>
        <a:gs pos="56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accent4">
          <a:lumMod val="40000"/>
          <a:lumOff val="60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'motore valutazione'!$C$33</c:f>
          <c:strCache>
            <c:ptCount val="1"/>
            <c:pt idx="0">
              <c:v>Ambienti di allevamento</c:v>
            </c:pt>
          </c:strCache>
        </c:strRef>
      </c:tx>
      <c:layout>
        <c:manualLayout>
          <c:xMode val="edge"/>
          <c:yMode val="edge"/>
          <c:x val="0.23749444274708481"/>
          <c:y val="2.4502113765377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4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87943042254895"/>
          <c:y val="0.29359305087286108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9B-4E0F-8409-97771E2B3E50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9B-4E0F-8409-97771E2B3E50}"/>
              </c:ext>
            </c:extLst>
          </c:dPt>
          <c:val>
            <c:numRef>
              <c:f>'motore valutazione'!$I$34:$I$35</c:f>
              <c:numCache>
                <c:formatCode>0%</c:formatCode>
                <c:ptCount val="2"/>
                <c:pt idx="0">
                  <c:v>0.44999999999999996</c:v>
                </c:pt>
                <c:pt idx="1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9B-4E0F-8409-97771E2B3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4">
            <a:lumMod val="20000"/>
            <a:lumOff val="80000"/>
          </a:schemeClr>
        </a:gs>
        <a:gs pos="54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800" b="1">
                <a:solidFill>
                  <a:schemeClr val="accent5">
                    <a:lumMod val="50000"/>
                  </a:schemeClr>
                </a:solidFill>
              </a:rPr>
              <a:t>Valutazione Complessiva</a:t>
            </a:r>
          </a:p>
        </c:rich>
      </c:tx>
      <c:layout>
        <c:manualLayout>
          <c:xMode val="edge"/>
          <c:yMode val="edge"/>
          <c:x val="0.31800670925024394"/>
          <c:y val="4.640206281093138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53439379424772493"/>
          <c:y val="0.19979083316545007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5C-4FDD-AF9E-52A4F56740D2}"/>
              </c:ext>
            </c:extLst>
          </c:dPt>
          <c:dPt>
            <c:idx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5C-4FDD-AF9E-52A4F56740D2}"/>
              </c:ext>
            </c:extLst>
          </c:dPt>
          <c:val>
            <c:numRef>
              <c:f>'motore valutazione'!$L$3:$L$4</c:f>
              <c:numCache>
                <c:formatCode>\+0%</c:formatCode>
                <c:ptCount val="2"/>
                <c:pt idx="0">
                  <c:v>1.4966249999999999</c:v>
                </c:pt>
                <c:pt idx="1">
                  <c:v>0.50337500000000013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5C-4FDD-AF9E-52A4F56740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accent1">
            <a:lumMod val="20000"/>
            <a:lumOff val="8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321087533011743"/>
          <c:y val="3.1063130643255846E-2"/>
          <c:w val="0.57880233991827967"/>
          <c:h val="0.93787373871348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valutazione'!$D$34:$D$36</c:f>
              <c:strCache>
                <c:ptCount val="3"/>
                <c:pt idx="0">
                  <c:v>2.1.1. Benessere nei sistemi bradi e semibradi</c:v>
                </c:pt>
                <c:pt idx="1">
                  <c:v>2.1.2. Adeguatezza strutture e impianti</c:v>
                </c:pt>
                <c:pt idx="2">
                  <c:v>2.1.3. Paddock</c:v>
                </c:pt>
              </c:strCache>
            </c:strRef>
          </c:cat>
          <c:val>
            <c:numRef>
              <c:f>'motore valutazione'!$F$34:$F$36</c:f>
              <c:numCache>
                <c:formatCode>0%</c:formatCode>
                <c:ptCount val="3"/>
                <c:pt idx="0">
                  <c:v>0.01</c:v>
                </c:pt>
                <c:pt idx="1">
                  <c:v>-0.44</c:v>
                </c:pt>
                <c:pt idx="2">
                  <c:v>-9.0000000000000011E-2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75-473E-A4EB-D7D164F756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3119504"/>
        <c:axId val="268908312"/>
      </c:barChart>
      <c:catAx>
        <c:axId val="483119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8908312"/>
        <c:crosses val="autoZero"/>
        <c:auto val="1"/>
        <c:lblAlgn val="ctr"/>
        <c:lblOffset val="100"/>
        <c:noMultiLvlLbl val="0"/>
      </c:catAx>
      <c:valAx>
        <c:axId val="268908312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483119504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'motore valutazione'!$C$8</c:f>
          <c:strCache>
            <c:ptCount val="1"/>
            <c:pt idx="0">
              <c:v>Biodiversità</c:v>
            </c:pt>
          </c:strCache>
        </c:strRef>
      </c:tx>
      <c:layout>
        <c:manualLayout>
          <c:xMode val="edge"/>
          <c:yMode val="edge"/>
          <c:x val="0.24381488028282183"/>
          <c:y val="5.70992642313153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1" i="0" u="none" strike="noStrike" kern="1200" spc="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55-46F5-A028-B7A2E03C805D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55-46F5-A028-B7A2E03C805D}"/>
              </c:ext>
            </c:extLst>
          </c:dPt>
          <c:val>
            <c:numRef>
              <c:f>'motore valutazione'!$I$9:$I$10</c:f>
              <c:numCache>
                <c:formatCode>0%</c:formatCode>
                <c:ptCount val="2"/>
                <c:pt idx="0">
                  <c:v>1.1499999999999999</c:v>
                </c:pt>
                <c:pt idx="1">
                  <c:v>0.85000000000000009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355-46F5-A028-B7A2E03C8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4100">
          <a:schemeClr val="accent6">
            <a:lumMod val="40000"/>
            <a:lumOff val="60000"/>
          </a:schemeClr>
        </a:gs>
        <a:gs pos="100000">
          <a:schemeClr val="accent6">
            <a:lumMod val="20000"/>
            <a:lumOff val="80000"/>
          </a:schemeClr>
        </a:gs>
        <a:gs pos="0">
          <a:schemeClr val="accent6">
            <a:lumMod val="60000"/>
            <a:lumOff val="4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'motore valutazione'!$C$37</c:f>
          <c:strCache>
            <c:ptCount val="1"/>
            <c:pt idx="0">
              <c:v>Gestione zootecnica</c:v>
            </c:pt>
          </c:strCache>
        </c:strRef>
      </c:tx>
      <c:layout>
        <c:manualLayout>
          <c:xMode val="edge"/>
          <c:yMode val="edge"/>
          <c:x val="0.23749444274708481"/>
          <c:y val="2.4502113765377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4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E29-4838-8172-FC3DD8A5AEF1}"/>
              </c:ext>
            </c:extLst>
          </c:dPt>
          <c:dPt>
            <c:idx val="1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E29-4838-8172-FC3DD8A5AEF1}"/>
              </c:ext>
            </c:extLst>
          </c:dPt>
          <c:val>
            <c:numRef>
              <c:f>'motore valutazione'!$I$38:$I$39</c:f>
              <c:numCache>
                <c:formatCode>0%</c:formatCode>
                <c:ptCount val="2"/>
                <c:pt idx="0">
                  <c:v>1.2999999999999998</c:v>
                </c:pt>
                <c:pt idx="1">
                  <c:v>0.70000000000000018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29-4838-8172-FC3DD8A5A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4">
            <a:lumMod val="20000"/>
            <a:lumOff val="80000"/>
          </a:schemeClr>
        </a:gs>
        <a:gs pos="54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valutazione'!$D$38:$D$44</c:f>
              <c:strCache>
                <c:ptCount val="7"/>
                <c:pt idx="0">
                  <c:v>2.2.1. Razione alimentare</c:v>
                </c:pt>
                <c:pt idx="1">
                  <c:v>2.2.2. Gestione dell’alimentazione</c:v>
                </c:pt>
                <c:pt idx="2">
                  <c:v>2.2.3. Sviluppo corporeo della giovane femmina alla prima fecondazione</c:v>
                </c:pt>
                <c:pt idx="3">
                  <c:v>2.2.4. Gestione dei giovani animali</c:v>
                </c:pt>
                <c:pt idx="4">
                  <c:v>2.2.5. Attenzione agli animali anziani</c:v>
                </c:pt>
                <c:pt idx="5">
                  <c:v>2.2.6. Gestione parto e post-partum</c:v>
                </c:pt>
                <c:pt idx="6">
                  <c:v>2.2.7. Gestione della relazione madre-figlio</c:v>
                </c:pt>
              </c:strCache>
            </c:strRef>
          </c:cat>
          <c:val>
            <c:numRef>
              <c:f>'motore valutazione'!$F$38:$F$44</c:f>
              <c:numCache>
                <c:formatCode>0%</c:formatCode>
                <c:ptCount val="7"/>
                <c:pt idx="0">
                  <c:v>-0.19</c:v>
                </c:pt>
                <c:pt idx="1">
                  <c:v>6.0000000000000005E-2</c:v>
                </c:pt>
                <c:pt idx="2">
                  <c:v>0.01</c:v>
                </c:pt>
                <c:pt idx="3">
                  <c:v>0.16</c:v>
                </c:pt>
                <c:pt idx="4">
                  <c:v>0.16</c:v>
                </c:pt>
                <c:pt idx="5">
                  <c:v>0.16</c:v>
                </c:pt>
                <c:pt idx="6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8-4A4C-8F37-2B951A29D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23584"/>
        <c:axId val="202222016"/>
      </c:barChart>
      <c:catAx>
        <c:axId val="20222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222016"/>
        <c:crosses val="autoZero"/>
        <c:auto val="1"/>
        <c:lblAlgn val="ctr"/>
        <c:lblOffset val="100"/>
        <c:noMultiLvlLbl val="0"/>
      </c:catAx>
      <c:valAx>
        <c:axId val="202222016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223584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'motore valutazione'!$C$53</c:f>
          <c:strCache>
            <c:ptCount val="1"/>
            <c:pt idx="0">
              <c:v>Socio-Territoriale</c:v>
            </c:pt>
          </c:strCache>
        </c:strRef>
      </c:tx>
      <c:layout>
        <c:manualLayout>
          <c:xMode val="edge"/>
          <c:yMode val="edge"/>
          <c:x val="0.23749444274708481"/>
          <c:y val="2.4502113765377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687943042254895"/>
          <c:y val="0.29359305087286108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632-4EB9-95A8-D57C69BDE7DB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632-4EB9-95A8-D57C69BDE7DB}"/>
              </c:ext>
            </c:extLst>
          </c:dPt>
          <c:val>
            <c:numRef>
              <c:f>'motore valutazione'!$I$54:$I$55</c:f>
              <c:numCache>
                <c:formatCode>0%</c:formatCode>
                <c:ptCount val="2"/>
                <c:pt idx="0">
                  <c:v>1.5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32-4EB9-95A8-D57C69BDE7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2">
            <a:lumMod val="20000"/>
            <a:lumOff val="80000"/>
          </a:schemeClr>
        </a:gs>
        <a:gs pos="54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77805338657141"/>
          <c:y val="2.8239209675687136E-2"/>
          <c:w val="0.82536939823207467"/>
          <c:h val="0.93787373871348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valutazione'!$D$54:$D$58</c:f>
              <c:strCache>
                <c:ptCount val="5"/>
                <c:pt idx="0">
                  <c:v>3.1.1. Relazioni sul territorio</c:v>
                </c:pt>
                <c:pt idx="1">
                  <c:v>3.1.2. Qualità della vita e del lavoro</c:v>
                </c:pt>
                <c:pt idx="2">
                  <c:v>3.1.3. Conflitto intergenerazionale</c:v>
                </c:pt>
                <c:pt idx="3">
                  <c:v>3.1.4. Formazione operatori aziendali</c:v>
                </c:pt>
                <c:pt idx="4">
                  <c:v>3.1.5. Comunicazione e coordinamento</c:v>
                </c:pt>
              </c:strCache>
            </c:strRef>
          </c:cat>
          <c:val>
            <c:numRef>
              <c:f>'motore valutazione'!$F$54:$F$58</c:f>
              <c:numCache>
                <c:formatCode>0%</c:formatCode>
                <c:ptCount val="5"/>
                <c:pt idx="0">
                  <c:v>0.21000000000000002</c:v>
                </c:pt>
                <c:pt idx="1">
                  <c:v>0.31000000000000005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72-42C9-AA3E-6C0C737720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24368"/>
        <c:axId val="202223192"/>
      </c:barChart>
      <c:catAx>
        <c:axId val="20222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223192"/>
        <c:crosses val="autoZero"/>
        <c:auto val="1"/>
        <c:lblAlgn val="ctr"/>
        <c:lblOffset val="100"/>
        <c:noMultiLvlLbl val="0"/>
      </c:catAx>
      <c:valAx>
        <c:axId val="202223192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224368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'motore valutazione'!$C$59</c:f>
          <c:strCache>
            <c:ptCount val="1"/>
            <c:pt idx="0">
              <c:v>Economica</c:v>
            </c:pt>
          </c:strCache>
        </c:strRef>
      </c:tx>
      <c:layout>
        <c:manualLayout>
          <c:xMode val="edge"/>
          <c:yMode val="edge"/>
          <c:x val="0.23749444274708481"/>
          <c:y val="2.4502113765377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2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38C-44F9-9DDF-34402CA9F858}"/>
              </c:ext>
            </c:extLst>
          </c:dPt>
          <c:dPt>
            <c:idx val="1"/>
            <c:bubble3D val="0"/>
            <c:spPr>
              <a:solidFill>
                <a:schemeClr val="accent2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38C-44F9-9DDF-34402CA9F858}"/>
              </c:ext>
            </c:extLst>
          </c:dPt>
          <c:val>
            <c:numRef>
              <c:f>'motore valutazione'!$I$60:$I$61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38C-44F9-9DDF-34402CA9F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2">
            <a:lumMod val="20000"/>
            <a:lumOff val="80000"/>
          </a:schemeClr>
        </a:gs>
        <a:gs pos="54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35444534398241"/>
          <c:y val="4.6573572146622416E-2"/>
          <c:w val="0.77841259079176039"/>
          <c:h val="0.937873738713488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valutazione'!$D$60:$D$62</c:f>
              <c:strCache>
                <c:ptCount val="3"/>
                <c:pt idx="0">
                  <c:v>3.2.1. Produttivita'</c:v>
                </c:pt>
                <c:pt idx="1">
                  <c:v>3.2.2. Efficienza gestionale</c:v>
                </c:pt>
                <c:pt idx="2">
                  <c:v>3.2.3. Vulnerabilita</c:v>
                </c:pt>
              </c:strCache>
            </c:strRef>
          </c:cat>
          <c:val>
            <c:numRef>
              <c:f>'motore valutazione'!$F$60:$F$62</c:f>
              <c:numCache>
                <c:formatCode>0%</c:formatCode>
                <c:ptCount val="3"/>
                <c:pt idx="0">
                  <c:v>-0.29000000000000004</c:v>
                </c:pt>
                <c:pt idx="1">
                  <c:v>0.01</c:v>
                </c:pt>
                <c:pt idx="2">
                  <c:v>0.31000000000000005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7-489E-9CB4-3801DD2036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25544"/>
        <c:axId val="202225152"/>
      </c:barChart>
      <c:catAx>
        <c:axId val="202225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225152"/>
        <c:crosses val="autoZero"/>
        <c:auto val="1"/>
        <c:lblAlgn val="ctr"/>
        <c:lblOffset val="100"/>
        <c:noMultiLvlLbl val="0"/>
      </c:catAx>
      <c:valAx>
        <c:axId val="202225152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225544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'motore valutazione'!$C$45</c:f>
          <c:strCache>
            <c:ptCount val="1"/>
            <c:pt idx="0">
              <c:v>Etologia collabrativa</c:v>
            </c:pt>
          </c:strCache>
        </c:strRef>
      </c:tx>
      <c:layout>
        <c:manualLayout>
          <c:xMode val="edge"/>
          <c:yMode val="edge"/>
          <c:x val="0.23749444274708481"/>
          <c:y val="2.45021137653775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t" anchorCtr="1"/>
        <a:lstStyle/>
        <a:p>
          <a:pPr>
            <a:defRPr sz="2000" b="1" i="0" u="none" strike="noStrike" kern="1200" spc="0" baseline="0">
              <a:solidFill>
                <a:schemeClr val="accent4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3182372838"/>
          <c:y val="0.30057605047146868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8FC-4587-AB5F-25390FF4B8C7}"/>
              </c:ext>
            </c:extLst>
          </c:dPt>
          <c:dPt>
            <c:idx val="1"/>
            <c:bubble3D val="0"/>
            <c:spPr>
              <a:solidFill>
                <a:schemeClr val="accent4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8FC-4587-AB5F-25390FF4B8C7}"/>
              </c:ext>
            </c:extLst>
          </c:dPt>
          <c:val>
            <c:numRef>
              <c:f>'motore valutazione'!$I$46:$I$47</c:f>
              <c:numCache>
                <c:formatCode>0%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8FC-4587-AB5F-25390FF4B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>
      <a:gsLst>
        <a:gs pos="0">
          <a:schemeClr val="accent4">
            <a:lumMod val="20000"/>
            <a:lumOff val="80000"/>
          </a:schemeClr>
        </a:gs>
        <a:gs pos="54000">
          <a:schemeClr val="accent4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valutazione'!$D$46:$D$48</c:f>
              <c:strCache>
                <c:ptCount val="3"/>
                <c:pt idx="0">
                  <c:v>2.3.1. Attenzione e tempo dedicati all’osservazione degli animali</c:v>
                </c:pt>
                <c:pt idx="1">
                  <c:v>2.3.2. Interazione persona-animale</c:v>
                </c:pt>
                <c:pt idx="2">
                  <c:v>2.3.3. Contenimento e manualita'</c:v>
                </c:pt>
              </c:strCache>
            </c:strRef>
          </c:cat>
          <c:val>
            <c:numRef>
              <c:f>'motore valutazione'!$F$46:$F$48</c:f>
              <c:numCache>
                <c:formatCode>0%</c:formatCode>
                <c:ptCount val="3"/>
                <c:pt idx="0">
                  <c:v>0.26</c:v>
                </c:pt>
                <c:pt idx="1">
                  <c:v>0.51</c:v>
                </c:pt>
                <c:pt idx="2">
                  <c:v>0.26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C4-4CB6-B978-7F6C82602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2221232"/>
        <c:axId val="202226720"/>
      </c:barChart>
      <c:catAx>
        <c:axId val="202221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226720"/>
        <c:crosses val="autoZero"/>
        <c:auto val="1"/>
        <c:lblAlgn val="ctr"/>
        <c:lblOffset val="100"/>
        <c:noMultiLvlLbl val="0"/>
      </c:catAx>
      <c:valAx>
        <c:axId val="202226720"/>
        <c:scaling>
          <c:orientation val="minMax"/>
          <c:max val="0.5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02221232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800" b="1">
                <a:solidFill>
                  <a:schemeClr val="accent6">
                    <a:lumMod val="50000"/>
                  </a:schemeClr>
                </a:solidFill>
              </a:rPr>
              <a:t>Dimensione</a:t>
            </a:r>
            <a:r>
              <a:rPr lang="it-IT" sz="2800" b="1" baseline="0">
                <a:solidFill>
                  <a:schemeClr val="accent6">
                    <a:lumMod val="50000"/>
                  </a:schemeClr>
                </a:solidFill>
              </a:rPr>
              <a:t> Ambientale</a:t>
            </a:r>
            <a:endParaRPr lang="it-IT" sz="2800" b="1">
              <a:solidFill>
                <a:schemeClr val="accent6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40426946807315978"/>
          <c:y val="0.77899724521189384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918056464886116"/>
          <c:y val="8.2459716714967171E-3"/>
          <c:w val="0.4630828958880141"/>
          <c:h val="0.77180482648002358"/>
        </c:manualLayout>
      </c:layout>
      <c:doughnutChart>
        <c:varyColors val="1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682-46E0-95B6-2BE5B9855FD8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682-46E0-95B6-2BE5B9855FD8}"/>
              </c:ext>
            </c:extLst>
          </c:dPt>
          <c:val>
            <c:numRef>
              <c:f>'motore valutazione'!$K$3:$K$4</c:f>
              <c:numCache>
                <c:formatCode>0%</c:formatCode>
                <c:ptCount val="2"/>
                <c:pt idx="0">
                  <c:v>1.675</c:v>
                </c:pt>
                <c:pt idx="1">
                  <c:v>0.32499999999999996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82-46E0-95B6-2BE5B9855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100000">
          <a:schemeClr val="accent6">
            <a:lumMod val="20000"/>
            <a:lumOff val="80000"/>
          </a:schemeClr>
        </a:gs>
        <a:gs pos="0">
          <a:schemeClr val="accent6">
            <a:lumMod val="60000"/>
            <a:lumOff val="4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'motore valutazione'!$C$2</c:f>
          <c:strCache>
            <c:ptCount val="1"/>
            <c:pt idx="0">
              <c:v>Aria acqua suolo </c:v>
            </c:pt>
          </c:strCache>
        </c:strRef>
      </c:tx>
      <c:layout>
        <c:manualLayout>
          <c:xMode val="edge"/>
          <c:yMode val="edge"/>
          <c:x val="0.1214177205122087"/>
          <c:y val="1.1284694064404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E95-4021-B78B-DC24F657DBD2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E95-4021-B78B-DC24F657DBD2}"/>
              </c:ext>
            </c:extLst>
          </c:dPt>
          <c:val>
            <c:numRef>
              <c:f>'motore valutazione'!$I$3:$I$4</c:f>
              <c:numCache>
                <c:formatCode>0%</c:formatCode>
                <c:ptCount val="2"/>
                <c:pt idx="0">
                  <c:v>1.75</c:v>
                </c:pt>
                <c:pt idx="1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95-4021-B78B-DC24F657DB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4100">
          <a:schemeClr val="accent6">
            <a:lumMod val="40000"/>
            <a:lumOff val="60000"/>
          </a:schemeClr>
        </a:gs>
        <a:gs pos="100000">
          <a:schemeClr val="accent6">
            <a:lumMod val="20000"/>
            <a:lumOff val="80000"/>
          </a:schemeClr>
        </a:gs>
        <a:gs pos="0">
          <a:schemeClr val="accent6">
            <a:lumMod val="60000"/>
            <a:lumOff val="4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'motore valutazione'!$C$15</c:f>
          <c:strCache>
            <c:ptCount val="1"/>
            <c:pt idx="0">
              <c:v>Pratiche zootecniche</c:v>
            </c:pt>
          </c:strCache>
        </c:strRef>
      </c:tx>
      <c:layout>
        <c:manualLayout>
          <c:xMode val="edge"/>
          <c:yMode val="edge"/>
          <c:x val="4.6225080992646189E-2"/>
          <c:y val="4.37700833029247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1" i="0" u="none" strike="noStrike" kern="1200" spc="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spPr>
            <a:solidFill>
              <a:srgbClr val="70AD47">
                <a:lumMod val="60000"/>
                <a:lumOff val="40000"/>
              </a:srgbClr>
            </a:solidFill>
          </c:spPr>
          <c:dPt>
            <c:idx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4C-4ADE-8C48-CD023764B752}"/>
              </c:ext>
            </c:extLst>
          </c:dPt>
          <c:dPt>
            <c:idx val="1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4C-4ADE-8C48-CD023764B752}"/>
              </c:ext>
            </c:extLst>
          </c:dPt>
          <c:val>
            <c:numRef>
              <c:f>'motore valutazione'!$I$16:$I$17</c:f>
              <c:numCache>
                <c:formatCode>0%</c:formatCode>
                <c:ptCount val="2"/>
                <c:pt idx="0">
                  <c:v>1.7</c:v>
                </c:pt>
                <c:pt idx="1">
                  <c:v>0.30000000000000004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4C-4ADE-8C48-CD023764B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4100">
          <a:schemeClr val="accent6">
            <a:lumMod val="40000"/>
            <a:lumOff val="60000"/>
          </a:schemeClr>
        </a:gs>
        <a:gs pos="100000">
          <a:schemeClr val="accent6">
            <a:lumMod val="20000"/>
            <a:lumOff val="80000"/>
          </a:schemeClr>
        </a:gs>
        <a:gs pos="0">
          <a:schemeClr val="accent6">
            <a:lumMod val="60000"/>
            <a:lumOff val="4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'motore valutazione'!$C$8</c:f>
          <c:strCache>
            <c:ptCount val="1"/>
            <c:pt idx="0">
              <c:v>Biodiversità</c:v>
            </c:pt>
          </c:strCache>
        </c:strRef>
      </c:tx>
      <c:layout>
        <c:manualLayout>
          <c:xMode val="edge"/>
          <c:yMode val="edge"/>
          <c:x val="0.24381488028282183"/>
          <c:y val="5.70992642313153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1" i="0" u="none" strike="noStrike" kern="1200" spc="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531-45E5-814E-B9AB4E285D1C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531-45E5-814E-B9AB4E285D1C}"/>
              </c:ext>
            </c:extLst>
          </c:dPt>
          <c:val>
            <c:numRef>
              <c:f>'motore valutazione'!$I$9:$I$10</c:f>
              <c:numCache>
                <c:formatCode>0%</c:formatCode>
                <c:ptCount val="2"/>
                <c:pt idx="0">
                  <c:v>1.1499999999999999</c:v>
                </c:pt>
                <c:pt idx="1">
                  <c:v>0.85000000000000009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31-45E5-814E-B9AB4E285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4100">
          <a:schemeClr val="accent6">
            <a:lumMod val="40000"/>
            <a:lumOff val="60000"/>
          </a:schemeClr>
        </a:gs>
        <a:gs pos="100000">
          <a:schemeClr val="accent6">
            <a:lumMod val="20000"/>
            <a:lumOff val="80000"/>
          </a:schemeClr>
        </a:gs>
        <a:gs pos="0">
          <a:schemeClr val="accent6">
            <a:lumMod val="60000"/>
            <a:lumOff val="4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'motore valutazione'!$C$15</c:f>
          <c:strCache>
            <c:ptCount val="1"/>
            <c:pt idx="0">
              <c:v>Pratiche zootecniche</c:v>
            </c:pt>
          </c:strCache>
        </c:strRef>
      </c:tx>
      <c:layout>
        <c:manualLayout>
          <c:xMode val="edge"/>
          <c:yMode val="edge"/>
          <c:x val="0.33565161497669938"/>
          <c:y val="7.0214018329675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1" i="0" u="none" strike="noStrike" kern="1200" spc="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spPr>
            <a:solidFill>
              <a:srgbClr val="70AD47">
                <a:lumMod val="60000"/>
                <a:lumOff val="40000"/>
              </a:srgbClr>
            </a:solidFill>
          </c:spPr>
          <c:dPt>
            <c:idx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83-469F-B98A-29F73CEC5CEF}"/>
              </c:ext>
            </c:extLst>
          </c:dPt>
          <c:dPt>
            <c:idx val="1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D83-469F-B98A-29F73CEC5CEF}"/>
              </c:ext>
            </c:extLst>
          </c:dPt>
          <c:val>
            <c:numRef>
              <c:f>'motore valutazione'!$I$16:$I$17</c:f>
              <c:numCache>
                <c:formatCode>0%</c:formatCode>
                <c:ptCount val="2"/>
                <c:pt idx="0">
                  <c:v>1.7</c:v>
                </c:pt>
                <c:pt idx="1">
                  <c:v>0.30000000000000004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83-469F-B98A-29F73CEC5C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4100">
          <a:schemeClr val="accent6">
            <a:lumMod val="40000"/>
            <a:lumOff val="60000"/>
          </a:schemeClr>
        </a:gs>
        <a:gs pos="100000">
          <a:schemeClr val="accent6">
            <a:lumMod val="20000"/>
            <a:lumOff val="80000"/>
          </a:schemeClr>
        </a:gs>
        <a:gs pos="0">
          <a:schemeClr val="accent6">
            <a:lumMod val="60000"/>
            <a:lumOff val="4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'motore valutazione'!$C$25</c:f>
          <c:strCache>
            <c:ptCount val="1"/>
            <c:pt idx="0">
              <c:v>Gestione risorse zootecniche</c:v>
            </c:pt>
          </c:strCache>
        </c:strRef>
      </c:tx>
      <c:layout>
        <c:manualLayout>
          <c:xMode val="edge"/>
          <c:yMode val="edge"/>
          <c:x val="0.36611754658751378"/>
          <c:y val="8.3435663937792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1" i="0" u="none" strike="noStrike" kern="1200" spc="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spPr>
            <a:solidFill>
              <a:srgbClr val="70AD47">
                <a:lumMod val="60000"/>
                <a:lumOff val="40000"/>
              </a:srgbClr>
            </a:solidFill>
          </c:spPr>
          <c:dPt>
            <c:idx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81F-4125-BFC7-CD08FD289BD0}"/>
              </c:ext>
            </c:extLst>
          </c:dPt>
          <c:dPt>
            <c:idx val="1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81F-4125-BFC7-CD08FD289BD0}"/>
              </c:ext>
            </c:extLst>
          </c:dPt>
          <c:val>
            <c:numRef>
              <c:f>'motore valutazione'!$I$26:$I$27</c:f>
              <c:numCache>
                <c:formatCode>0%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1F-4125-BFC7-CD08FD289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4100">
          <a:schemeClr val="accent6">
            <a:lumMod val="40000"/>
            <a:lumOff val="60000"/>
          </a:schemeClr>
        </a:gs>
        <a:gs pos="100000">
          <a:schemeClr val="accent6">
            <a:lumMod val="20000"/>
            <a:lumOff val="80000"/>
          </a:schemeClr>
        </a:gs>
        <a:gs pos="0">
          <a:schemeClr val="accent6">
            <a:lumMod val="60000"/>
            <a:lumOff val="4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valutazione'!$D$3:$D$7</c:f>
              <c:strCache>
                <c:ptCount val="5"/>
                <c:pt idx="0">
                  <c:v>1.1.1. Riduzione dei GHG</c:v>
                </c:pt>
                <c:pt idx="1">
                  <c:v>1.1.2. Conservazione della risorsa idrica</c:v>
                </c:pt>
                <c:pt idx="2">
                  <c:v>1.1.3. Inquinanti idrici</c:v>
                </c:pt>
                <c:pt idx="3">
                  <c:v>1.1.4. Salute del suolo</c:v>
                </c:pt>
                <c:pt idx="4">
                  <c:v>1.1.5. Protezione contro l'erosione, copertura colturale del suolo</c:v>
                </c:pt>
              </c:strCache>
            </c:strRef>
          </c:cat>
          <c:val>
            <c:numRef>
              <c:f>'motore valutazione'!$F$3:$F$7</c:f>
              <c:numCache>
                <c:formatCode>0%</c:formatCode>
                <c:ptCount val="5"/>
                <c:pt idx="0">
                  <c:v>0.26</c:v>
                </c:pt>
                <c:pt idx="1">
                  <c:v>0.26</c:v>
                </c:pt>
                <c:pt idx="2">
                  <c:v>0.11</c:v>
                </c:pt>
                <c:pt idx="3">
                  <c:v>0.01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D2-4D59-8F96-B38FB4EA60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369104"/>
        <c:axId val="271372632"/>
      </c:barChart>
      <c:catAx>
        <c:axId val="271369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1372632"/>
        <c:crosses val="autoZero"/>
        <c:auto val="1"/>
        <c:lblAlgn val="ctr"/>
        <c:lblOffset val="100"/>
        <c:noMultiLvlLbl val="0"/>
      </c:catAx>
      <c:valAx>
        <c:axId val="271372632"/>
        <c:scaling>
          <c:orientation val="minMax"/>
          <c:max val="0.3000000000000001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1369104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valutazione'!$D$9:$D$14</c:f>
              <c:strCache>
                <c:ptCount val="6"/>
                <c:pt idx="0">
                  <c:v>1.2.1. Aree di interesse ecologico</c:v>
                </c:pt>
                <c:pt idx="1">
                  <c:v>1.2.2. Biodiversita' animale</c:v>
                </c:pt>
                <c:pt idx="2">
                  <c:v>1.2.3. Specie animali allevate</c:v>
                </c:pt>
                <c:pt idx="3">
                  <c:v>1.2.4. Avvicendamento colturale</c:v>
                </c:pt>
                <c:pt idx="4">
                  <c:v>1.2.5. Rusticita'</c:v>
                </c:pt>
                <c:pt idx="5">
                  <c:v>1.2.6. Presenza di varieta'/razze, ecotipi vegetali e animali locali</c:v>
                </c:pt>
              </c:strCache>
            </c:strRef>
          </c:cat>
          <c:val>
            <c:numRef>
              <c:f>'motore valutazione'!$F$9:$F$14</c:f>
              <c:numCache>
                <c:formatCode>0%</c:formatCode>
                <c:ptCount val="6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7E-4EE5-A8EB-41DDFC597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373808"/>
        <c:axId val="271373024"/>
      </c:barChart>
      <c:catAx>
        <c:axId val="271373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1373024"/>
        <c:crosses val="autoZero"/>
        <c:auto val="1"/>
        <c:lblAlgn val="ctr"/>
        <c:lblOffset val="100"/>
        <c:noMultiLvlLbl val="0"/>
      </c:catAx>
      <c:valAx>
        <c:axId val="271373024"/>
        <c:scaling>
          <c:orientation val="minMax"/>
          <c:max val="0.3000000000000001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1373808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valutazione'!$D$16:$D$24</c:f>
              <c:strCache>
                <c:ptCount val="9"/>
                <c:pt idx="0">
                  <c:v>1.3.1. Quantità di utilizzo del pascolo</c:v>
                </c:pt>
                <c:pt idx="1">
                  <c:v>1.3.2. Gestione pascolo</c:v>
                </c:pt>
                <c:pt idx="2">
                  <c:v>1.3.3. % di SAU destinata ai foraggi da colture pluriennali</c:v>
                </c:pt>
                <c:pt idx="3">
                  <c:v>1.3.4. Energia della razione alimentare fornita dal pascolo</c:v>
                </c:pt>
                <c:pt idx="4">
                  <c:v>1.3.5. Proteine da foraggi</c:v>
                </c:pt>
                <c:pt idx="5">
                  <c:v>1.3.6. Prevenzione sanitaria</c:v>
                </c:pt>
                <c:pt idx="6">
                  <c:v>1.3.7. Medicine alternative o tradizionali</c:v>
                </c:pt>
                <c:pt idx="7">
                  <c:v>1.3.8. Numero trattamenti antibiotici</c:v>
                </c:pt>
                <c:pt idx="8">
                  <c:v>1.3.9. Numero trattamenti antiparassitari</c:v>
                </c:pt>
              </c:strCache>
            </c:strRef>
          </c:cat>
          <c:val>
            <c:numRef>
              <c:f>'motore valutazione'!$F$16:$F$24</c:f>
              <c:numCache>
                <c:formatCode>0%</c:formatCode>
                <c:ptCount val="9"/>
                <c:pt idx="0">
                  <c:v>0.16</c:v>
                </c:pt>
                <c:pt idx="1">
                  <c:v>0.16</c:v>
                </c:pt>
                <c:pt idx="2">
                  <c:v>6.0000000000000005E-2</c:v>
                </c:pt>
                <c:pt idx="3">
                  <c:v>-0.04</c:v>
                </c:pt>
                <c:pt idx="4">
                  <c:v>0.01</c:v>
                </c:pt>
                <c:pt idx="5">
                  <c:v>0.16</c:v>
                </c:pt>
                <c:pt idx="6">
                  <c:v>6.0000000000000005E-2</c:v>
                </c:pt>
                <c:pt idx="7">
                  <c:v>0.21000000000000002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88-496C-B817-F5C567F410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368712"/>
        <c:axId val="271374200"/>
      </c:barChart>
      <c:catAx>
        <c:axId val="271368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1374200"/>
        <c:crosses val="autoZero"/>
        <c:auto val="1"/>
        <c:lblAlgn val="ctr"/>
        <c:lblOffset val="100"/>
        <c:noMultiLvlLbl val="0"/>
      </c:catAx>
      <c:valAx>
        <c:axId val="271374200"/>
        <c:scaling>
          <c:orientation val="minMax"/>
          <c:max val="0.3000000000000001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1368712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valutazione'!$D$26:$D$31</c:f>
              <c:strCache>
                <c:ptCount val="6"/>
                <c:pt idx="0">
                  <c:v>1.4.1. Fertilita'</c:v>
                </c:pt>
                <c:pt idx="1">
                  <c:v>1.4.2. Incremento ponderale giornaliero</c:v>
                </c:pt>
                <c:pt idx="2">
                  <c:v>1.4.3. Efficienza razione foraggera</c:v>
                </c:pt>
                <c:pt idx="3">
                  <c:v>1.4.4. Tasso di riforma involontaria</c:v>
                </c:pt>
                <c:pt idx="4">
                  <c:v>1.4.5. Qualita' del latte</c:v>
                </c:pt>
                <c:pt idx="5">
                  <c:v>1.4.6. Rapporto omega6/omega3</c:v>
                </c:pt>
              </c:strCache>
            </c:strRef>
          </c:cat>
          <c:val>
            <c:numRef>
              <c:f>'motore valutazione'!$F$26:$F$31</c:f>
              <c:numCache>
                <c:formatCode>0%</c:formatCode>
                <c:ptCount val="6"/>
                <c:pt idx="0">
                  <c:v>0.21000000000000002</c:v>
                </c:pt>
                <c:pt idx="1">
                  <c:v>0.11</c:v>
                </c:pt>
                <c:pt idx="2">
                  <c:v>0.21000000000000002</c:v>
                </c:pt>
                <c:pt idx="3">
                  <c:v>0.11</c:v>
                </c:pt>
                <c:pt idx="4">
                  <c:v>0.21000000000000002</c:v>
                </c:pt>
                <c:pt idx="5">
                  <c:v>0.21000000000000002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8-4F2E-8E48-5E86E33A38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71366752"/>
        <c:axId val="271367536"/>
      </c:barChart>
      <c:catAx>
        <c:axId val="27136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1367536"/>
        <c:crosses val="autoZero"/>
        <c:auto val="1"/>
        <c:lblAlgn val="ctr"/>
        <c:lblOffset val="100"/>
        <c:noMultiLvlLbl val="0"/>
      </c:catAx>
      <c:valAx>
        <c:axId val="271367536"/>
        <c:scaling>
          <c:orientation val="minMax"/>
          <c:max val="0.3000000000000001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71366752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'motore valutazione'!$C$25</c:f>
          <c:strCache>
            <c:ptCount val="1"/>
            <c:pt idx="0">
              <c:v>Gestione risorse zootecniche</c:v>
            </c:pt>
          </c:strCache>
        </c:strRef>
      </c:tx>
      <c:layout>
        <c:manualLayout>
          <c:xMode val="edge"/>
          <c:yMode val="edge"/>
          <c:x val="0.36611754658751378"/>
          <c:y val="8.34356639377927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2000" b="1" i="0" u="none" strike="noStrike" kern="1200" spc="0" baseline="0">
              <a:solidFill>
                <a:schemeClr val="accent6">
                  <a:lumMod val="50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27818088363954518"/>
          <c:y val="0.20099555263925342"/>
          <c:w val="0.4630828958880141"/>
          <c:h val="0.77180482648002358"/>
        </c:manualLayout>
      </c:layout>
      <c:doughnutChart>
        <c:varyColors val="1"/>
        <c:ser>
          <c:idx val="0"/>
          <c:order val="0"/>
          <c:spPr>
            <a:solidFill>
              <a:srgbClr val="70AD47">
                <a:lumMod val="60000"/>
                <a:lumOff val="40000"/>
              </a:srgbClr>
            </a:solidFill>
          </c:spPr>
          <c:dPt>
            <c:idx val="0"/>
            <c:bubble3D val="0"/>
            <c:spPr>
              <a:solidFill>
                <a:srgbClr val="70AD47">
                  <a:lumMod val="60000"/>
                  <a:lumOff val="4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9E-4C68-A425-C9C07866B098}"/>
              </c:ext>
            </c:extLst>
          </c:dPt>
          <c:dPt>
            <c:idx val="1"/>
            <c:bubble3D val="0"/>
            <c:spPr>
              <a:solidFill>
                <a:srgbClr val="70AD47">
                  <a:lumMod val="20000"/>
                  <a:lumOff val="80000"/>
                </a:srgb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9E-4C68-A425-C9C07866B098}"/>
              </c:ext>
            </c:extLst>
          </c:dPt>
          <c:val>
            <c:numRef>
              <c:f>'motore valutazione'!$I$26:$I$27</c:f>
              <c:numCache>
                <c:formatCode>0%</c:formatCode>
                <c:ptCount val="2"/>
                <c:pt idx="0">
                  <c:v>2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9E-4C68-A425-C9C07866B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4100">
          <a:schemeClr val="accent6">
            <a:lumMod val="40000"/>
            <a:lumOff val="60000"/>
          </a:schemeClr>
        </a:gs>
        <a:gs pos="100000">
          <a:schemeClr val="accent6">
            <a:lumMod val="20000"/>
            <a:lumOff val="80000"/>
          </a:schemeClr>
        </a:gs>
        <a:gs pos="0">
          <a:schemeClr val="accent6">
            <a:lumMod val="60000"/>
            <a:lumOff val="4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162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800" b="1">
                <a:solidFill>
                  <a:schemeClr val="accent5">
                    <a:lumMod val="50000"/>
                  </a:schemeClr>
                </a:solidFill>
              </a:rPr>
              <a:t>Valutazione Complessiva</a:t>
            </a:r>
          </a:p>
        </c:rich>
      </c:tx>
      <c:layout>
        <c:manualLayout>
          <c:xMode val="edge"/>
          <c:yMode val="edge"/>
          <c:x val="0.31800670925024394"/>
          <c:y val="4.6402062810931384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52907069489617764"/>
          <c:y val="0.17875303471280612"/>
          <c:w val="0.4630828958880141"/>
          <c:h val="0.7718048264800235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A5E-4C46-AED0-C59E242476DD}"/>
              </c:ext>
            </c:extLst>
          </c:dPt>
          <c:dPt>
            <c:idx val="1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A5E-4C46-AED0-C59E242476DD}"/>
              </c:ext>
            </c:extLst>
          </c:dPt>
          <c:val>
            <c:numRef>
              <c:f>'motore valutazione'!$L$3:$L$4</c:f>
              <c:numCache>
                <c:formatCode>\+0%</c:formatCode>
                <c:ptCount val="2"/>
                <c:pt idx="0">
                  <c:v>1.4966249999999999</c:v>
                </c:pt>
                <c:pt idx="1">
                  <c:v>0.50337500000000013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5E-4C46-AED0-C59E24247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0"/>
        <c:holeSize val="69"/>
      </c:doughnutChart>
      <c:spPr>
        <a:noFill/>
        <a:ln>
          <a:noFill/>
        </a:ln>
        <a:effectLst/>
      </c:spPr>
    </c:plotArea>
    <c:plotVisOnly val="1"/>
    <c:dispBlanksAs val="zero"/>
    <c:showDLblsOverMax val="0"/>
  </c:chart>
  <c:spPr>
    <a:gradFill flip="none" rotWithShape="1">
      <a:gsLst>
        <a:gs pos="0">
          <a:schemeClr val="accent1">
            <a:lumMod val="20000"/>
            <a:lumOff val="80000"/>
          </a:schemeClr>
        </a:gs>
        <a:gs pos="100000">
          <a:schemeClr val="accent1">
            <a:lumMod val="45000"/>
            <a:lumOff val="55000"/>
          </a:schemeClr>
        </a:gs>
        <a:gs pos="100000">
          <a:schemeClr val="accent1">
            <a:lumMod val="30000"/>
            <a:lumOff val="70000"/>
          </a:schemeClr>
        </a:gs>
      </a:gsLst>
      <a:lin ang="5400000" scaled="1"/>
      <a:tileRect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valutazione'!$D$3:$D$7</c:f>
              <c:strCache>
                <c:ptCount val="5"/>
                <c:pt idx="0">
                  <c:v>1.1.1. Riduzione dei GHG</c:v>
                </c:pt>
                <c:pt idx="1">
                  <c:v>1.1.2. Conservazione della risorsa idrica</c:v>
                </c:pt>
                <c:pt idx="2">
                  <c:v>1.1.3. Inquinanti idrici</c:v>
                </c:pt>
                <c:pt idx="3">
                  <c:v>1.1.4. Salute del suolo</c:v>
                </c:pt>
                <c:pt idx="4">
                  <c:v>1.1.5. Protezione contro l'erosione, copertura colturale del suolo</c:v>
                </c:pt>
              </c:strCache>
            </c:strRef>
          </c:cat>
          <c:val>
            <c:numRef>
              <c:f>'motore valutazione'!$F$3:$F$7</c:f>
              <c:numCache>
                <c:formatCode>0%</c:formatCode>
                <c:ptCount val="5"/>
                <c:pt idx="0">
                  <c:v>0.26</c:v>
                </c:pt>
                <c:pt idx="1">
                  <c:v>0.26</c:v>
                </c:pt>
                <c:pt idx="2">
                  <c:v>0.11</c:v>
                </c:pt>
                <c:pt idx="3">
                  <c:v>0.01</c:v>
                </c:pt>
                <c:pt idx="4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9D-42BB-9F51-F7F8E2AEC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8909096"/>
        <c:axId val="268909880"/>
      </c:barChart>
      <c:catAx>
        <c:axId val="26890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8909880"/>
        <c:crosses val="autoZero"/>
        <c:auto val="1"/>
        <c:lblAlgn val="ctr"/>
        <c:lblOffset val="100"/>
        <c:noMultiLvlLbl val="0"/>
      </c:catAx>
      <c:valAx>
        <c:axId val="268909880"/>
        <c:scaling>
          <c:orientation val="minMax"/>
          <c:max val="0.3000000000000001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8909096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49146723929596"/>
          <c:y val="3.2352948669047865E-2"/>
          <c:w val="0.77456258898760544"/>
          <c:h val="0.9352941026619042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valutazione'!$D$9:$D$14</c:f>
              <c:strCache>
                <c:ptCount val="6"/>
                <c:pt idx="0">
                  <c:v>1.2.1. Aree di interesse ecologico</c:v>
                </c:pt>
                <c:pt idx="1">
                  <c:v>1.2.2. Biodiversita' animale</c:v>
                </c:pt>
                <c:pt idx="2">
                  <c:v>1.2.3. Specie animali allevate</c:v>
                </c:pt>
                <c:pt idx="3">
                  <c:v>1.2.4. Avvicendamento colturale</c:v>
                </c:pt>
                <c:pt idx="4">
                  <c:v>1.2.5. Rusticita'</c:v>
                </c:pt>
                <c:pt idx="5">
                  <c:v>1.2.6. Presenza di varieta'/razze, ecotipi vegetali e animali locali</c:v>
                </c:pt>
              </c:strCache>
            </c:strRef>
          </c:cat>
          <c:val>
            <c:numRef>
              <c:f>'motore valutazione'!$F$9:$F$14</c:f>
              <c:numCache>
                <c:formatCode>0%</c:formatCode>
                <c:ptCount val="6"/>
                <c:pt idx="0">
                  <c:v>0.01</c:v>
                </c:pt>
                <c:pt idx="1">
                  <c:v>0.01</c:v>
                </c:pt>
                <c:pt idx="2">
                  <c:v>0.01</c:v>
                </c:pt>
                <c:pt idx="3">
                  <c:v>0.01</c:v>
                </c:pt>
                <c:pt idx="4">
                  <c:v>0.01</c:v>
                </c:pt>
                <c:pt idx="5">
                  <c:v>0.16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4-4034-9121-1B3D46DE9B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8905960"/>
        <c:axId val="268907136"/>
      </c:barChart>
      <c:catAx>
        <c:axId val="268905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8907136"/>
        <c:crosses val="autoZero"/>
        <c:auto val="1"/>
        <c:lblAlgn val="ctr"/>
        <c:lblOffset val="100"/>
        <c:noMultiLvlLbl val="0"/>
      </c:catAx>
      <c:valAx>
        <c:axId val="268907136"/>
        <c:scaling>
          <c:orientation val="minMax"/>
          <c:max val="0.3000000000000001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8905960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979116898197147"/>
          <c:y val="3.2352948669047865E-2"/>
          <c:w val="0.77388352313389663"/>
          <c:h val="0.951492577927878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'motore valutazione'!$D$16:$D$24</c:f>
              <c:strCache>
                <c:ptCount val="9"/>
                <c:pt idx="0">
                  <c:v>1.3.1. Quantità di utilizzo del pascolo</c:v>
                </c:pt>
                <c:pt idx="1">
                  <c:v>1.3.2. Gestione pascolo</c:v>
                </c:pt>
                <c:pt idx="2">
                  <c:v>1.3.3. % di SAU destinata ai foraggi da colture pluriennali</c:v>
                </c:pt>
                <c:pt idx="3">
                  <c:v>1.3.4. Energia della razione alimentare fornita dal pascolo</c:v>
                </c:pt>
                <c:pt idx="4">
                  <c:v>1.3.5. Proteine da foraggi</c:v>
                </c:pt>
                <c:pt idx="5">
                  <c:v>1.3.6. Prevenzione sanitaria</c:v>
                </c:pt>
                <c:pt idx="6">
                  <c:v>1.3.7. Medicine alternative o tradizionali</c:v>
                </c:pt>
                <c:pt idx="7">
                  <c:v>1.3.8. Numero trattamenti antibiotici</c:v>
                </c:pt>
                <c:pt idx="8">
                  <c:v>1.3.9. Numero trattamenti antiparassitari</c:v>
                </c:pt>
              </c:strCache>
            </c:strRef>
          </c:cat>
          <c:val>
            <c:numRef>
              <c:f>'motore valutazione'!$F$16:$F$24</c:f>
              <c:numCache>
                <c:formatCode>0%</c:formatCode>
                <c:ptCount val="9"/>
                <c:pt idx="0">
                  <c:v>0.16</c:v>
                </c:pt>
                <c:pt idx="1">
                  <c:v>0.16</c:v>
                </c:pt>
                <c:pt idx="2">
                  <c:v>6.0000000000000005E-2</c:v>
                </c:pt>
                <c:pt idx="3">
                  <c:v>-0.04</c:v>
                </c:pt>
                <c:pt idx="4">
                  <c:v>0.01</c:v>
                </c:pt>
                <c:pt idx="5">
                  <c:v>0.16</c:v>
                </c:pt>
                <c:pt idx="6">
                  <c:v>6.0000000000000005E-2</c:v>
                </c:pt>
                <c:pt idx="7">
                  <c:v>0.21000000000000002</c:v>
                </c:pt>
                <c:pt idx="8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E0-400A-9663-69F0C70F8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8906352"/>
        <c:axId val="268906744"/>
      </c:barChart>
      <c:catAx>
        <c:axId val="268906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8906744"/>
        <c:crosses val="autoZero"/>
        <c:auto val="1"/>
        <c:lblAlgn val="ctr"/>
        <c:lblOffset val="100"/>
        <c:noMultiLvlLbl val="0"/>
      </c:catAx>
      <c:valAx>
        <c:axId val="268906744"/>
        <c:scaling>
          <c:orientation val="minMax"/>
          <c:max val="0.3000000000000001"/>
          <c:min val="-0.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268906352"/>
        <c:crosses val="autoZero"/>
        <c:crossBetween val="between"/>
      </c:valAx>
      <c:spPr>
        <a:noFill/>
        <a:ln>
          <a:noFill/>
        </a:ln>
        <a:effectLst>
          <a:softEdge rad="0"/>
        </a:effectLst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/Relationships>
</file>

<file path=xl/drawings/_rels/drawing19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18" Type="http://schemas.openxmlformats.org/officeDocument/2006/relationships/chart" Target="../charts/chart42.xml"/><Relationship Id="rId3" Type="http://schemas.openxmlformats.org/officeDocument/2006/relationships/chart" Target="../charts/chart27.xml"/><Relationship Id="rId21" Type="http://schemas.openxmlformats.org/officeDocument/2006/relationships/chart" Target="../charts/chart45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17" Type="http://schemas.openxmlformats.org/officeDocument/2006/relationships/chart" Target="../charts/chart41.xml"/><Relationship Id="rId2" Type="http://schemas.openxmlformats.org/officeDocument/2006/relationships/chart" Target="../charts/chart26.xml"/><Relationship Id="rId16" Type="http://schemas.openxmlformats.org/officeDocument/2006/relationships/chart" Target="../charts/chart40.xml"/><Relationship Id="rId20" Type="http://schemas.openxmlformats.org/officeDocument/2006/relationships/chart" Target="../charts/chart44.xml"/><Relationship Id="rId1" Type="http://schemas.openxmlformats.org/officeDocument/2006/relationships/chart" Target="../charts/chart25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chart" Target="../charts/chart29.xml"/><Relationship Id="rId15" Type="http://schemas.openxmlformats.org/officeDocument/2006/relationships/chart" Target="../charts/chart39.xml"/><Relationship Id="rId10" Type="http://schemas.openxmlformats.org/officeDocument/2006/relationships/chart" Target="../charts/chart34.xml"/><Relationship Id="rId19" Type="http://schemas.openxmlformats.org/officeDocument/2006/relationships/chart" Target="../charts/chart43.xml"/><Relationship Id="rId4" Type="http://schemas.openxmlformats.org/officeDocument/2006/relationships/chart" Target="../charts/chart28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Relationship Id="rId22" Type="http://schemas.openxmlformats.org/officeDocument/2006/relationships/chart" Target="../charts/chart46.xml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8.xml"/><Relationship Id="rId3" Type="http://schemas.openxmlformats.org/officeDocument/2006/relationships/chart" Target="../charts/chart13.xml"/><Relationship Id="rId7" Type="http://schemas.openxmlformats.org/officeDocument/2006/relationships/chart" Target="../charts/chart17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1807883</xdr:colOff>
      <xdr:row>0</xdr:row>
      <xdr:rowOff>341406</xdr:rowOff>
    </xdr:from>
    <xdr:to>
      <xdr:col>11</xdr:col>
      <xdr:colOff>95998</xdr:colOff>
      <xdr:row>16</xdr:row>
      <xdr:rowOff>148292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17</xdr:row>
      <xdr:rowOff>23159</xdr:rowOff>
    </xdr:from>
    <xdr:to>
      <xdr:col>2</xdr:col>
      <xdr:colOff>224118</xdr:colOff>
      <xdr:row>28</xdr:row>
      <xdr:rowOff>149412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227478</xdr:colOff>
      <xdr:row>17</xdr:row>
      <xdr:rowOff>11579</xdr:rowOff>
    </xdr:from>
    <xdr:to>
      <xdr:col>3</xdr:col>
      <xdr:colOff>125878</xdr:colOff>
      <xdr:row>29</xdr:row>
      <xdr:rowOff>44823</xdr:rowOff>
    </xdr:to>
    <xdr:graphicFrame macro="">
      <xdr:nvGraphicFramePr>
        <xdr:cNvPr id="9" name="Grafico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17</xdr:row>
      <xdr:rowOff>0</xdr:rowOff>
    </xdr:from>
    <xdr:to>
      <xdr:col>7</xdr:col>
      <xdr:colOff>50800</xdr:colOff>
      <xdr:row>29</xdr:row>
      <xdr:rowOff>127000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37354</xdr:colOff>
      <xdr:row>17</xdr:row>
      <xdr:rowOff>0</xdr:rowOff>
    </xdr:from>
    <xdr:to>
      <xdr:col>11</xdr:col>
      <xdr:colOff>88154</xdr:colOff>
      <xdr:row>29</xdr:row>
      <xdr:rowOff>134470</xdr:rowOff>
    </xdr:to>
    <xdr:graphicFrame macro="">
      <xdr:nvGraphicFramePr>
        <xdr:cNvPr id="12" name="Grafico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14941</xdr:rowOff>
    </xdr:from>
    <xdr:to>
      <xdr:col>3</xdr:col>
      <xdr:colOff>508000</xdr:colOff>
      <xdr:row>17</xdr:row>
      <xdr:rowOff>16059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28</xdr:row>
      <xdr:rowOff>141942</xdr:rowOff>
    </xdr:from>
    <xdr:to>
      <xdr:col>2</xdr:col>
      <xdr:colOff>246530</xdr:colOff>
      <xdr:row>56</xdr:row>
      <xdr:rowOff>67235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186765</xdr:colOff>
      <xdr:row>28</xdr:row>
      <xdr:rowOff>149411</xdr:rowOff>
    </xdr:from>
    <xdr:to>
      <xdr:col>3</xdr:col>
      <xdr:colOff>74706</xdr:colOff>
      <xdr:row>56</xdr:row>
      <xdr:rowOff>74704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74706</xdr:colOff>
      <xdr:row>29</xdr:row>
      <xdr:rowOff>14941</xdr:rowOff>
    </xdr:from>
    <xdr:to>
      <xdr:col>7</xdr:col>
      <xdr:colOff>104588</xdr:colOff>
      <xdr:row>56</xdr:row>
      <xdr:rowOff>97117</xdr:rowOff>
    </xdr:to>
    <xdr:graphicFrame macro="">
      <xdr:nvGraphicFramePr>
        <xdr:cNvPr id="16" name="Grafico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44825</xdr:colOff>
      <xdr:row>29</xdr:row>
      <xdr:rowOff>14941</xdr:rowOff>
    </xdr:from>
    <xdr:to>
      <xdr:col>10</xdr:col>
      <xdr:colOff>530413</xdr:colOff>
      <xdr:row>56</xdr:row>
      <xdr:rowOff>97117</xdr:rowOff>
    </xdr:to>
    <xdr:graphicFrame macro="">
      <xdr:nvGraphicFramePr>
        <xdr:cNvPr id="17" name="Grafico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oneCellAnchor>
    <xdr:from>
      <xdr:col>0</xdr:col>
      <xdr:colOff>522940</xdr:colOff>
      <xdr:row>21</xdr:row>
      <xdr:rowOff>112058</xdr:rowOff>
    </xdr:from>
    <xdr:ext cx="400694" cy="655885"/>
    <xdr:sp macro="" textlink="">
      <xdr:nvSpPr>
        <xdr:cNvPr id="18" name="CasellaDiTesto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/>
      </xdr:nvSpPr>
      <xdr:spPr>
        <a:xfrm>
          <a:off x="522940" y="3668058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720164</xdr:colOff>
      <xdr:row>21</xdr:row>
      <xdr:rowOff>107576</xdr:rowOff>
    </xdr:from>
    <xdr:ext cx="400694" cy="655885"/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/>
      </xdr:nvSpPr>
      <xdr:spPr>
        <a:xfrm>
          <a:off x="3036046" y="3663576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164353</xdr:colOff>
      <xdr:row>4</xdr:row>
      <xdr:rowOff>65741</xdr:rowOff>
    </xdr:from>
    <xdr:ext cx="608375" cy="937629"/>
    <xdr:sp macro="" textlink="">
      <xdr:nvSpPr>
        <xdr:cNvPr id="20" name="CasellaDiTesto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/>
      </xdr:nvSpPr>
      <xdr:spPr>
        <a:xfrm>
          <a:off x="6297706" y="880035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800" b="1">
              <a:solidFill>
                <a:schemeClr val="bg1"/>
              </a:solidFill>
            </a:rPr>
            <a:t>0</a:t>
          </a:r>
          <a:r>
            <a:rPr lang="it-IT" sz="54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7</xdr:col>
      <xdr:colOff>539376</xdr:colOff>
      <xdr:row>21</xdr:row>
      <xdr:rowOff>68729</xdr:rowOff>
    </xdr:from>
    <xdr:ext cx="400694" cy="655885"/>
    <xdr:sp macro="" textlink="">
      <xdr:nvSpPr>
        <xdr:cNvPr id="21" name="CasellaDiTesto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/>
      </xdr:nvSpPr>
      <xdr:spPr>
        <a:xfrm>
          <a:off x="7897905" y="3624729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3</xdr:col>
      <xdr:colOff>524434</xdr:colOff>
      <xdr:row>21</xdr:row>
      <xdr:rowOff>106082</xdr:rowOff>
    </xdr:from>
    <xdr:ext cx="400694" cy="655885"/>
    <xdr:sp macro="" textlink="">
      <xdr:nvSpPr>
        <xdr:cNvPr id="23" name="CasellaDiTesto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/>
      </xdr:nvSpPr>
      <xdr:spPr>
        <a:xfrm>
          <a:off x="5432610" y="3662082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481106</xdr:colOff>
      <xdr:row>6</xdr:row>
      <xdr:rowOff>16435</xdr:rowOff>
    </xdr:from>
    <xdr:ext cx="608375" cy="937629"/>
    <xdr:sp macro="" textlink="">
      <xdr:nvSpPr>
        <xdr:cNvPr id="24" name="CasellaDiTesto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/>
      </xdr:nvSpPr>
      <xdr:spPr>
        <a:xfrm>
          <a:off x="2796988" y="1144494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800" b="1">
              <a:solidFill>
                <a:schemeClr val="bg1"/>
              </a:solidFill>
            </a:rPr>
            <a:t>0</a:t>
          </a:r>
          <a:r>
            <a:rPr lang="it-IT" sz="54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775216</xdr:colOff>
      <xdr:row>2</xdr:row>
      <xdr:rowOff>50229</xdr:rowOff>
    </xdr:from>
    <xdr:ext cx="573665" cy="964209"/>
    <xdr:sp macro="" textlink="">
      <xdr:nvSpPr>
        <xdr:cNvPr id="25" name="CasellaDiTesto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/>
      </xdr:nvSpPr>
      <xdr:spPr>
        <a:xfrm rot="1529992">
          <a:off x="3091098" y="550758"/>
          <a:ext cx="573665" cy="964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54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1</xdr:col>
      <xdr:colOff>140578</xdr:colOff>
      <xdr:row>0</xdr:row>
      <xdr:rowOff>332521</xdr:rowOff>
    </xdr:from>
    <xdr:ext cx="1444775" cy="937757"/>
    <xdr:sp macro="" textlink="">
      <xdr:nvSpPr>
        <xdr:cNvPr id="26" name="CasellaDiTesto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/>
      </xdr:nvSpPr>
      <xdr:spPr>
        <a:xfrm rot="1332062">
          <a:off x="1843872" y="332521"/>
          <a:ext cx="1444775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it-IT" sz="1800" b="1">
              <a:solidFill>
                <a:schemeClr val="bg1"/>
              </a:solidFill>
            </a:rPr>
            <a:t>Alta</a:t>
          </a:r>
        </a:p>
        <a:p>
          <a:pPr algn="r"/>
          <a:r>
            <a:rPr lang="it-IT" sz="1800" b="1">
              <a:solidFill>
                <a:schemeClr val="bg1"/>
              </a:solidFill>
            </a:rPr>
            <a:t> </a:t>
          </a:r>
          <a:r>
            <a:rPr lang="it-IT" sz="1800" b="1" baseline="0">
              <a:solidFill>
                <a:schemeClr val="bg1"/>
              </a:solidFill>
            </a:rPr>
            <a:t>sostenibilità      	     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1</xdr:col>
      <xdr:colOff>143563</xdr:colOff>
      <xdr:row>12</xdr:row>
      <xdr:rowOff>66570</xdr:rowOff>
    </xdr:from>
    <xdr:ext cx="1444775" cy="937757"/>
    <xdr:sp macro="" textlink="">
      <xdr:nvSpPr>
        <xdr:cNvPr id="27" name="CasellaDiTesto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/>
      </xdr:nvSpPr>
      <xdr:spPr>
        <a:xfrm rot="19855882">
          <a:off x="1846857" y="2135923"/>
          <a:ext cx="1444775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it-IT" sz="1800" b="1">
              <a:solidFill>
                <a:schemeClr val="bg1"/>
              </a:solidFill>
            </a:rPr>
            <a:t>Bassa</a:t>
          </a:r>
        </a:p>
        <a:p>
          <a:pPr algn="r"/>
          <a:r>
            <a:rPr lang="it-IT" sz="1800" b="1">
              <a:solidFill>
                <a:schemeClr val="bg1"/>
              </a:solidFill>
            </a:rPr>
            <a:t> </a:t>
          </a:r>
          <a:r>
            <a:rPr lang="it-IT" sz="1800" b="1" baseline="0">
              <a:solidFill>
                <a:schemeClr val="bg1"/>
              </a:solidFill>
            </a:rPr>
            <a:t>sostenibilità      	     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753035</xdr:colOff>
      <xdr:row>9</xdr:row>
      <xdr:rowOff>94130</xdr:rowOff>
    </xdr:from>
    <xdr:ext cx="608375" cy="937629"/>
    <xdr:sp macro="" textlink="">
      <xdr:nvSpPr>
        <xdr:cNvPr id="28" name="CasellaDiTesto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/>
      </xdr:nvSpPr>
      <xdr:spPr>
        <a:xfrm rot="19394465">
          <a:off x="3068917" y="1692836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54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0.29804</cdr:x>
      <cdr:y>0.50853</cdr:y>
    </cdr:from>
    <cdr:to>
      <cdr:x>0.69543</cdr:x>
      <cdr:y>0.66333</cdr:y>
    </cdr:to>
    <cdr:sp macro="" textlink="'motore valutazione'!$J$33">
      <cdr:nvSpPr>
        <cdr:cNvPr id="3" name="CasellaDiTesto 2"/>
        <cdr:cNvSpPr txBox="1"/>
      </cdr:nvSpPr>
      <cdr:spPr>
        <a:xfrm xmlns:a="http://schemas.openxmlformats.org/drawingml/2006/main">
          <a:off x="806494" y="994127"/>
          <a:ext cx="1075339" cy="302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1362F0D-8B0A-4EFF-9053-05983B68F23B}" type="TxLink">
            <a:rPr lang="en-US" sz="1800" b="1" i="0" u="none" strike="noStrike">
              <a:solidFill>
                <a:schemeClr val="accent4">
                  <a:lumMod val="75000"/>
                </a:schemeClr>
              </a:solidFill>
              <a:latin typeface="Arial"/>
              <a:cs typeface="Arial"/>
            </a:rPr>
            <a:pPr algn="ctr"/>
            <a:t>-55%</a:t>
          </a:fld>
          <a:endParaRPr lang="it-IT" sz="6000" b="1">
            <a:solidFill>
              <a:schemeClr val="accent4">
                <a:lumMod val="75000"/>
              </a:schemeClr>
            </a:solidFill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0.56919</cdr:x>
      <cdr:y>0.44702</cdr:y>
    </cdr:from>
    <cdr:to>
      <cdr:x>0.95835</cdr:x>
      <cdr:y>0.62122</cdr:y>
    </cdr:to>
    <cdr:sp macro="" textlink="'motore valutazione'!$L$2">
      <cdr:nvSpPr>
        <cdr:cNvPr id="3" name="CasellaDiTesto 2"/>
        <cdr:cNvSpPr txBox="1"/>
      </cdr:nvSpPr>
      <cdr:spPr>
        <a:xfrm xmlns:a="http://schemas.openxmlformats.org/drawingml/2006/main">
          <a:off x="3082852" y="1276191"/>
          <a:ext cx="2107759" cy="49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436D0C7A-BF31-4B3E-9B7B-92C5F23BEF5E}" type="TxLink">
            <a:rPr lang="en-US" sz="2800" b="1" i="0" u="none" strike="noStrike">
              <a:solidFill>
                <a:schemeClr val="accent5">
                  <a:lumMod val="50000"/>
                </a:schemeClr>
              </a:solidFill>
              <a:latin typeface="Arial"/>
              <a:cs typeface="Arial"/>
            </a:rPr>
            <a:pPr algn="ctr"/>
            <a:t>49,66%</a:t>
          </a:fld>
          <a:endParaRPr lang="it-IT" sz="2800" b="1">
            <a:solidFill>
              <a:schemeClr val="accent5">
                <a:lumMod val="50000"/>
              </a:schemeClr>
            </a:solidFill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0.3148</cdr:x>
      <cdr:y>0.47141</cdr:y>
    </cdr:from>
    <cdr:to>
      <cdr:x>0.71219</cdr:x>
      <cdr:y>0.62621</cdr:y>
    </cdr:to>
    <cdr:sp macro="" textlink="'motore valutazione'!$J$37">
      <cdr:nvSpPr>
        <cdr:cNvPr id="3" name="CasellaDiTesto 2"/>
        <cdr:cNvSpPr txBox="1"/>
      </cdr:nvSpPr>
      <cdr:spPr>
        <a:xfrm xmlns:a="http://schemas.openxmlformats.org/drawingml/2006/main">
          <a:off x="793003" y="893631"/>
          <a:ext cx="1001059" cy="293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EB9DEDE-AA84-4DB4-ACDD-618AF0AFE6E9}" type="TxLink">
            <a:rPr lang="en-US" sz="1800" b="1" i="0" u="none" strike="noStrike">
              <a:solidFill>
                <a:schemeClr val="accent4">
                  <a:lumMod val="75000"/>
                </a:schemeClr>
              </a:solidFill>
              <a:latin typeface="Arial"/>
              <a:cs typeface="Arial"/>
            </a:rPr>
            <a:pPr algn="ctr"/>
            <a:t>30%</a:t>
          </a:fld>
          <a:endParaRPr lang="it-IT" sz="11500" b="1">
            <a:solidFill>
              <a:schemeClr val="accent4">
                <a:lumMod val="75000"/>
              </a:schemeClr>
            </a:solidFill>
          </a:endParaRP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0.31815</cdr:x>
      <cdr:y>0.49865</cdr:y>
    </cdr:from>
    <cdr:to>
      <cdr:x>0.71554</cdr:x>
      <cdr:y>0.65345</cdr:y>
    </cdr:to>
    <cdr:sp macro="" textlink="'motore valutazione'!$J$45">
      <cdr:nvSpPr>
        <cdr:cNvPr id="3" name="CasellaDiTesto 2"/>
        <cdr:cNvSpPr txBox="1"/>
      </cdr:nvSpPr>
      <cdr:spPr>
        <a:xfrm xmlns:a="http://schemas.openxmlformats.org/drawingml/2006/main">
          <a:off x="860922" y="996512"/>
          <a:ext cx="1075339" cy="309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9E1755A-54B7-4D89-A536-37B39C9E2B79}" type="TxLink">
            <a:rPr lang="en-US" sz="1800" b="1" i="0" u="none" strike="noStrike">
              <a:solidFill>
                <a:schemeClr val="accent4">
                  <a:lumMod val="75000"/>
                </a:schemeClr>
              </a:solidFill>
              <a:latin typeface="Arial"/>
              <a:cs typeface="Arial"/>
            </a:rPr>
            <a:pPr algn="ctr"/>
            <a:t>100%</a:t>
          </a:fld>
          <a:endParaRPr lang="it-IT" sz="34400" b="1">
            <a:solidFill>
              <a:schemeClr val="accent4">
                <a:lumMod val="75000"/>
              </a:schemeClr>
            </a:solidFill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265740</xdr:colOff>
      <xdr:row>1</xdr:row>
      <xdr:rowOff>51120</xdr:rowOff>
    </xdr:from>
    <xdr:to>
      <xdr:col>10</xdr:col>
      <xdr:colOff>45357</xdr:colOff>
      <xdr:row>17</xdr:row>
      <xdr:rowOff>39434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287566</xdr:colOff>
      <xdr:row>17</xdr:row>
      <xdr:rowOff>19958</xdr:rowOff>
    </xdr:from>
    <xdr:to>
      <xdr:col>2</xdr:col>
      <xdr:colOff>680358</xdr:colOff>
      <xdr:row>28</xdr:row>
      <xdr:rowOff>115208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2</xdr:col>
      <xdr:colOff>2458359</xdr:colOff>
      <xdr:row>17</xdr:row>
      <xdr:rowOff>1118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</xdr:row>
      <xdr:rowOff>141942</xdr:rowOff>
    </xdr:from>
    <xdr:to>
      <xdr:col>2</xdr:col>
      <xdr:colOff>725715</xdr:colOff>
      <xdr:row>56</xdr:row>
      <xdr:rowOff>67235</xdr:rowOff>
    </xdr:to>
    <xdr:graphicFrame macro="">
      <xdr:nvGraphicFramePr>
        <xdr:cNvPr id="8" name="Grafico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839873</xdr:colOff>
      <xdr:row>21</xdr:row>
      <xdr:rowOff>149478</xdr:rowOff>
    </xdr:from>
    <xdr:ext cx="400694" cy="655885"/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/>
      </xdr:nvSpPr>
      <xdr:spPr>
        <a:xfrm>
          <a:off x="839873" y="3823407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4</xdr:col>
      <xdr:colOff>536282</xdr:colOff>
      <xdr:row>4</xdr:row>
      <xdr:rowOff>111099</xdr:rowOff>
    </xdr:from>
    <xdr:ext cx="608375" cy="937629"/>
    <xdr:sp macro="" textlink="">
      <xdr:nvSpPr>
        <xdr:cNvPr id="14" name="CasellaDiTesto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/>
      </xdr:nvSpPr>
      <xdr:spPr>
        <a:xfrm>
          <a:off x="6051711" y="945670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800" b="1">
              <a:solidFill>
                <a:schemeClr val="bg1"/>
              </a:solidFill>
            </a:rPr>
            <a:t>0</a:t>
          </a:r>
          <a:r>
            <a:rPr lang="it-IT" sz="54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9392</xdr:colOff>
      <xdr:row>6</xdr:row>
      <xdr:rowOff>70864</xdr:rowOff>
    </xdr:from>
    <xdr:ext cx="608375" cy="937629"/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/>
      </xdr:nvSpPr>
      <xdr:spPr>
        <a:xfrm>
          <a:off x="2322606" y="1232007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800" b="1">
              <a:solidFill>
                <a:schemeClr val="bg1"/>
              </a:solidFill>
            </a:rPr>
            <a:t>0</a:t>
          </a:r>
          <a:r>
            <a:rPr lang="it-IT" sz="54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376073</xdr:colOff>
      <xdr:row>2</xdr:row>
      <xdr:rowOff>86514</xdr:rowOff>
    </xdr:from>
    <xdr:ext cx="573665" cy="964209"/>
    <xdr:sp macro="" textlink="">
      <xdr:nvSpPr>
        <xdr:cNvPr id="18" name="CasellaDiTesto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 rot="1529992">
          <a:off x="2689287" y="594514"/>
          <a:ext cx="573665" cy="964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5400" b="1">
              <a:solidFill>
                <a:srgbClr val="92D050"/>
              </a:solidFill>
            </a:rPr>
            <a:t>-</a:t>
          </a:r>
          <a:endParaRPr lang="it-IT" sz="1100" b="1">
            <a:solidFill>
              <a:srgbClr val="92D050"/>
            </a:solidFill>
          </a:endParaRPr>
        </a:p>
      </xdr:txBody>
    </xdr:sp>
    <xdr:clientData/>
  </xdr:oneCellAnchor>
  <xdr:oneCellAnchor>
    <xdr:from>
      <xdr:col>0</xdr:col>
      <xdr:colOff>1310793</xdr:colOff>
      <xdr:row>0</xdr:row>
      <xdr:rowOff>341592</xdr:rowOff>
    </xdr:from>
    <xdr:ext cx="1444775" cy="937757"/>
    <xdr:sp macro="" textlink="">
      <xdr:nvSpPr>
        <xdr:cNvPr id="19" name="CasellaDiTesto 18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/>
      </xdr:nvSpPr>
      <xdr:spPr>
        <a:xfrm rot="1332062">
          <a:off x="1310793" y="341592"/>
          <a:ext cx="1444775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it-IT" sz="1800" b="1">
              <a:solidFill>
                <a:srgbClr val="92D050"/>
              </a:solidFill>
            </a:rPr>
            <a:t>Alta</a:t>
          </a:r>
        </a:p>
        <a:p>
          <a:pPr algn="r"/>
          <a:r>
            <a:rPr lang="it-IT" sz="1800" b="1">
              <a:solidFill>
                <a:schemeClr val="bg1"/>
              </a:solidFill>
            </a:rPr>
            <a:t> </a:t>
          </a:r>
          <a:r>
            <a:rPr lang="it-IT" sz="1800" b="1" baseline="0">
              <a:solidFill>
                <a:srgbClr val="92D050"/>
              </a:solidFill>
            </a:rPr>
            <a:t>sostenibilità</a:t>
          </a:r>
          <a:r>
            <a:rPr lang="it-IT" sz="1800" b="1" baseline="0">
              <a:solidFill>
                <a:schemeClr val="bg1"/>
              </a:solidFill>
            </a:rPr>
            <a:t>      	     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1431705</xdr:colOff>
      <xdr:row>12</xdr:row>
      <xdr:rowOff>75641</xdr:rowOff>
    </xdr:from>
    <xdr:ext cx="1444775" cy="937757"/>
    <xdr:sp macro="" textlink="">
      <xdr:nvSpPr>
        <xdr:cNvPr id="20" name="CasellaDiTesto 19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/>
      </xdr:nvSpPr>
      <xdr:spPr>
        <a:xfrm rot="19855882">
          <a:off x="1431705" y="2216498"/>
          <a:ext cx="1444775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it-IT" sz="1800" b="1">
              <a:solidFill>
                <a:srgbClr val="FF0000"/>
              </a:solidFill>
            </a:rPr>
            <a:t>Bassa</a:t>
          </a:r>
        </a:p>
        <a:p>
          <a:pPr algn="r"/>
          <a:r>
            <a:rPr lang="it-IT" sz="1800" b="1">
              <a:solidFill>
                <a:schemeClr val="bg1"/>
              </a:solidFill>
            </a:rPr>
            <a:t> </a:t>
          </a:r>
          <a:r>
            <a:rPr lang="it-IT" sz="1800" b="1" baseline="0">
              <a:solidFill>
                <a:srgbClr val="FF0000"/>
              </a:solidFill>
            </a:rPr>
            <a:t>sostenibilità</a:t>
          </a:r>
          <a:r>
            <a:rPr lang="it-IT" sz="1800" b="1" baseline="0">
              <a:solidFill>
                <a:schemeClr val="bg1"/>
              </a:solidFill>
            </a:rPr>
            <a:t>      	     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381107</xdr:colOff>
      <xdr:row>10</xdr:row>
      <xdr:rowOff>85057</xdr:rowOff>
    </xdr:from>
    <xdr:ext cx="608375" cy="937629"/>
    <xdr:sp macro="" textlink="">
      <xdr:nvSpPr>
        <xdr:cNvPr id="21" name="CasellaDiTesto 2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/>
      </xdr:nvSpPr>
      <xdr:spPr>
        <a:xfrm rot="19394465">
          <a:off x="2694321" y="1899343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5400" b="1">
              <a:solidFill>
                <a:srgbClr val="FF0000"/>
              </a:solidFill>
            </a:rPr>
            <a:t>-</a:t>
          </a:r>
          <a:endParaRPr lang="it-IT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2</xdr:col>
      <xdr:colOff>680357</xdr:colOff>
      <xdr:row>17</xdr:row>
      <xdr:rowOff>63500</xdr:rowOff>
    </xdr:from>
    <xdr:to>
      <xdr:col>4</xdr:col>
      <xdr:colOff>317500</xdr:colOff>
      <xdr:row>28</xdr:row>
      <xdr:rowOff>158750</xdr:rowOff>
    </xdr:to>
    <xdr:graphicFrame macro="">
      <xdr:nvGraphicFramePr>
        <xdr:cNvPr id="22" name="Grafico 2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734786</xdr:colOff>
      <xdr:row>28</xdr:row>
      <xdr:rowOff>140127</xdr:rowOff>
    </xdr:from>
    <xdr:to>
      <xdr:col>4</xdr:col>
      <xdr:colOff>63500</xdr:colOff>
      <xdr:row>56</xdr:row>
      <xdr:rowOff>65420</xdr:rowOff>
    </xdr:to>
    <xdr:graphicFrame macro="">
      <xdr:nvGraphicFramePr>
        <xdr:cNvPr id="23" name="Grafico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2</xdr:col>
      <xdr:colOff>1291631</xdr:colOff>
      <xdr:row>21</xdr:row>
      <xdr:rowOff>156735</xdr:rowOff>
    </xdr:from>
    <xdr:ext cx="400694" cy="655885"/>
    <xdr:sp macro="" textlink="">
      <xdr:nvSpPr>
        <xdr:cNvPr id="24" name="CasellaDiTesto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/>
      </xdr:nvSpPr>
      <xdr:spPr>
        <a:xfrm>
          <a:off x="3604845" y="3830664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28884</xdr:colOff>
      <xdr:row>21</xdr:row>
      <xdr:rowOff>154922</xdr:rowOff>
    </xdr:from>
    <xdr:ext cx="400694" cy="655885"/>
    <xdr:sp macro="" textlink="">
      <xdr:nvSpPr>
        <xdr:cNvPr id="27" name="CasellaDiTesto 26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/>
      </xdr:nvSpPr>
      <xdr:spPr>
        <a:xfrm>
          <a:off x="6152098" y="3828851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0.58824</cdr:x>
      <cdr:y>0.29224</cdr:y>
    </cdr:from>
    <cdr:to>
      <cdr:x>0.85491</cdr:x>
      <cdr:y>0.50065</cdr:y>
    </cdr:to>
    <cdr:sp macro="" textlink="'motore valutazione'!$K$53">
      <cdr:nvSpPr>
        <cdr:cNvPr id="3" name="CasellaDiTesto 2"/>
        <cdr:cNvSpPr txBox="1"/>
      </cdr:nvSpPr>
      <cdr:spPr>
        <a:xfrm xmlns:a="http://schemas.openxmlformats.org/drawingml/2006/main">
          <a:off x="3899187" y="760078"/>
          <a:ext cx="1767634" cy="542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B849127-9711-449D-B5E9-EB3F4C902942}" type="TxLink">
            <a:rPr lang="en-US" sz="2800" b="1" i="0" u="none" strike="noStrike">
              <a:solidFill>
                <a:schemeClr val="accent2">
                  <a:lumMod val="75000"/>
                </a:schemeClr>
              </a:solidFill>
              <a:latin typeface="Arial"/>
              <a:cs typeface="Arial"/>
            </a:rPr>
            <a:pPr algn="ctr"/>
            <a:t>25,00%</a:t>
          </a:fld>
          <a:endParaRPr lang="it-IT" sz="28700" b="1">
            <a:solidFill>
              <a:schemeClr val="accent2">
                <a:lumMod val="75000"/>
              </a:schemeClr>
            </a:solidFill>
          </a:endParaRP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0.29804</cdr:x>
      <cdr:y>0.50853</cdr:y>
    </cdr:from>
    <cdr:to>
      <cdr:x>0.69543</cdr:x>
      <cdr:y>0.66333</cdr:y>
    </cdr:to>
    <cdr:sp macro="" textlink="'motore valutazione'!$J$54">
      <cdr:nvSpPr>
        <cdr:cNvPr id="3" name="CasellaDiTesto 2"/>
        <cdr:cNvSpPr txBox="1"/>
      </cdr:nvSpPr>
      <cdr:spPr>
        <a:xfrm xmlns:a="http://schemas.openxmlformats.org/drawingml/2006/main">
          <a:off x="806494" y="994127"/>
          <a:ext cx="1075339" cy="302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5AC445-A910-4756-9D41-71AC27458F88}" type="TxLink">
            <a:rPr lang="en-US" sz="1800" b="1" i="0" u="none" strike="noStrike">
              <a:solidFill>
                <a:schemeClr val="accent2">
                  <a:lumMod val="75000"/>
                </a:schemeClr>
              </a:solidFill>
              <a:latin typeface="Arial"/>
              <a:cs typeface="Arial"/>
            </a:rPr>
            <a:pPr algn="ctr"/>
            <a:t>50%</a:t>
          </a:fld>
          <a:endParaRPr lang="it-IT" sz="1800" b="1">
            <a:solidFill>
              <a:schemeClr val="accent2">
                <a:lumMod val="75000"/>
              </a:schemeClr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0.56919</cdr:x>
      <cdr:y>0.44702</cdr:y>
    </cdr:from>
    <cdr:to>
      <cdr:x>0.95835</cdr:x>
      <cdr:y>0.62122</cdr:y>
    </cdr:to>
    <cdr:sp macro="" textlink="'motore valutazione'!$L$2">
      <cdr:nvSpPr>
        <cdr:cNvPr id="3" name="CasellaDiTesto 2"/>
        <cdr:cNvSpPr txBox="1"/>
      </cdr:nvSpPr>
      <cdr:spPr>
        <a:xfrm xmlns:a="http://schemas.openxmlformats.org/drawingml/2006/main">
          <a:off x="3082852" y="1276191"/>
          <a:ext cx="2107759" cy="49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436D0C7A-BF31-4B3E-9B7B-92C5F23BEF5E}" type="TxLink">
            <a:rPr lang="en-US" sz="2800" b="1" i="0" u="none" strike="noStrike">
              <a:solidFill>
                <a:schemeClr val="accent5">
                  <a:lumMod val="50000"/>
                </a:schemeClr>
              </a:solidFill>
              <a:latin typeface="Arial"/>
              <a:cs typeface="Arial"/>
            </a:rPr>
            <a:pPr algn="ctr"/>
            <a:t>49,66%</a:t>
          </a:fld>
          <a:endParaRPr lang="it-IT" sz="2800" b="1">
            <a:solidFill>
              <a:schemeClr val="accent5">
                <a:lumMod val="50000"/>
              </a:schemeClr>
            </a:solidFill>
          </a:endParaRP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0.3148</cdr:x>
      <cdr:y>0.47141</cdr:y>
    </cdr:from>
    <cdr:to>
      <cdr:x>0.71219</cdr:x>
      <cdr:y>0.62621</cdr:y>
    </cdr:to>
    <cdr:sp macro="" textlink="'motore valutazione'!$J$60">
      <cdr:nvSpPr>
        <cdr:cNvPr id="3" name="CasellaDiTesto 2"/>
        <cdr:cNvSpPr txBox="1"/>
      </cdr:nvSpPr>
      <cdr:spPr>
        <a:xfrm xmlns:a="http://schemas.openxmlformats.org/drawingml/2006/main">
          <a:off x="793003" y="893631"/>
          <a:ext cx="1001059" cy="293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ABE9734D-A6DA-4B57-82F3-C934F3723C0F}" type="TxLink">
            <a:rPr lang="en-US" sz="1800" b="1" i="0" u="none" strike="noStrike">
              <a:solidFill>
                <a:schemeClr val="accent2">
                  <a:lumMod val="75000"/>
                </a:schemeClr>
              </a:solidFill>
              <a:latin typeface="Arial"/>
              <a:cs typeface="Arial"/>
            </a:rPr>
            <a:pPr algn="ctr"/>
            <a:t>0%</a:t>
          </a:fld>
          <a:endParaRPr lang="it-IT" sz="1800" b="1">
            <a:solidFill>
              <a:schemeClr val="accent2">
                <a:lumMod val="75000"/>
              </a:schemeClr>
            </a:solidFill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438097</xdr:colOff>
      <xdr:row>1</xdr:row>
      <xdr:rowOff>45356</xdr:rowOff>
    </xdr:from>
    <xdr:to>
      <xdr:col>17</xdr:col>
      <xdr:colOff>381000</xdr:colOff>
      <xdr:row>17</xdr:row>
      <xdr:rowOff>33670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1526668</xdr:colOff>
      <xdr:row>1</xdr:row>
      <xdr:rowOff>51121</xdr:rowOff>
    </xdr:from>
    <xdr:to>
      <xdr:col>8</xdr:col>
      <xdr:colOff>344714</xdr:colOff>
      <xdr:row>17</xdr:row>
      <xdr:rowOff>39435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6352</xdr:colOff>
      <xdr:row>17</xdr:row>
      <xdr:rowOff>19958</xdr:rowOff>
    </xdr:from>
    <xdr:to>
      <xdr:col>2</xdr:col>
      <xdr:colOff>399144</xdr:colOff>
      <xdr:row>28</xdr:row>
      <xdr:rowOff>115208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5869</xdr:rowOff>
    </xdr:from>
    <xdr:to>
      <xdr:col>2</xdr:col>
      <xdr:colOff>2458359</xdr:colOff>
      <xdr:row>17</xdr:row>
      <xdr:rowOff>6987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28</xdr:row>
      <xdr:rowOff>141942</xdr:rowOff>
    </xdr:from>
    <xdr:to>
      <xdr:col>2</xdr:col>
      <xdr:colOff>435429</xdr:colOff>
      <xdr:row>56</xdr:row>
      <xdr:rowOff>67235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0</xdr:col>
      <xdr:colOff>558659</xdr:colOff>
      <xdr:row>21</xdr:row>
      <xdr:rowOff>113192</xdr:rowOff>
    </xdr:from>
    <xdr:ext cx="400694" cy="655885"/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/>
      </xdr:nvSpPr>
      <xdr:spPr>
        <a:xfrm>
          <a:off x="558659" y="3700942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3</xdr:col>
      <xdr:colOff>200639</xdr:colOff>
      <xdr:row>5</xdr:row>
      <xdr:rowOff>29456</xdr:rowOff>
    </xdr:from>
    <xdr:ext cx="608375" cy="937629"/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/>
      </xdr:nvSpPr>
      <xdr:spPr>
        <a:xfrm>
          <a:off x="5115539" y="1007356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800" b="1">
              <a:solidFill>
                <a:schemeClr val="bg1"/>
              </a:solidFill>
            </a:rPr>
            <a:t>0</a:t>
          </a:r>
          <a:r>
            <a:rPr lang="it-IT" sz="54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9392</xdr:colOff>
      <xdr:row>6</xdr:row>
      <xdr:rowOff>70864</xdr:rowOff>
    </xdr:from>
    <xdr:ext cx="608375" cy="937629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2327142" y="1207514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800" b="1">
              <a:solidFill>
                <a:schemeClr val="bg1"/>
              </a:solidFill>
            </a:rPr>
            <a:t>0</a:t>
          </a:r>
          <a:r>
            <a:rPr lang="it-IT" sz="54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376073</xdr:colOff>
      <xdr:row>2</xdr:row>
      <xdr:rowOff>86514</xdr:rowOff>
    </xdr:from>
    <xdr:ext cx="573665" cy="964209"/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/>
      </xdr:nvSpPr>
      <xdr:spPr>
        <a:xfrm rot="1529992">
          <a:off x="2693823" y="588164"/>
          <a:ext cx="573665" cy="964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5400" b="1">
              <a:solidFill>
                <a:srgbClr val="92D050"/>
              </a:solidFill>
            </a:rPr>
            <a:t>-</a:t>
          </a:r>
          <a:endParaRPr lang="it-IT" sz="1100" b="1">
            <a:solidFill>
              <a:srgbClr val="92D050"/>
            </a:solidFill>
          </a:endParaRPr>
        </a:p>
      </xdr:txBody>
    </xdr:sp>
    <xdr:clientData/>
  </xdr:oneCellAnchor>
  <xdr:oneCellAnchor>
    <xdr:from>
      <xdr:col>0</xdr:col>
      <xdr:colOff>1310793</xdr:colOff>
      <xdr:row>0</xdr:row>
      <xdr:rowOff>341592</xdr:rowOff>
    </xdr:from>
    <xdr:ext cx="1444775" cy="937757"/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 rot="1332062">
          <a:off x="1310793" y="341592"/>
          <a:ext cx="1444775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it-IT" sz="1800" b="1">
              <a:solidFill>
                <a:srgbClr val="92D050"/>
              </a:solidFill>
            </a:rPr>
            <a:t>Alta</a:t>
          </a:r>
        </a:p>
        <a:p>
          <a:pPr algn="r"/>
          <a:r>
            <a:rPr lang="it-IT" sz="1800" b="1">
              <a:solidFill>
                <a:schemeClr val="bg1"/>
              </a:solidFill>
            </a:rPr>
            <a:t> </a:t>
          </a:r>
          <a:r>
            <a:rPr lang="it-IT" sz="1800" b="1" baseline="0">
              <a:solidFill>
                <a:srgbClr val="92D050"/>
              </a:solidFill>
            </a:rPr>
            <a:t>sostenibilità</a:t>
          </a:r>
          <a:r>
            <a:rPr lang="it-IT" sz="1800" b="1" baseline="0">
              <a:solidFill>
                <a:schemeClr val="bg1"/>
              </a:solidFill>
            </a:rPr>
            <a:t>      	     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1431705</xdr:colOff>
      <xdr:row>12</xdr:row>
      <xdr:rowOff>75641</xdr:rowOff>
    </xdr:from>
    <xdr:ext cx="1444775" cy="937757"/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 rot="19855882">
          <a:off x="1431705" y="2164791"/>
          <a:ext cx="1444775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it-IT" sz="1800" b="1">
              <a:solidFill>
                <a:srgbClr val="FF0000"/>
              </a:solidFill>
            </a:rPr>
            <a:t>Bassa</a:t>
          </a:r>
        </a:p>
        <a:p>
          <a:pPr algn="r"/>
          <a:r>
            <a:rPr lang="it-IT" sz="1800" b="1">
              <a:solidFill>
                <a:schemeClr val="bg1"/>
              </a:solidFill>
            </a:rPr>
            <a:t> </a:t>
          </a:r>
          <a:r>
            <a:rPr lang="it-IT" sz="1800" b="1" baseline="0">
              <a:solidFill>
                <a:srgbClr val="FF0000"/>
              </a:solidFill>
            </a:rPr>
            <a:t>sostenibilità</a:t>
          </a:r>
          <a:r>
            <a:rPr lang="it-IT" sz="1800" b="1" baseline="0">
              <a:solidFill>
                <a:schemeClr val="bg1"/>
              </a:solidFill>
            </a:rPr>
            <a:t>      	     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381107</xdr:colOff>
      <xdr:row>10</xdr:row>
      <xdr:rowOff>85057</xdr:rowOff>
    </xdr:from>
    <xdr:ext cx="608375" cy="937629"/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/>
      </xdr:nvSpPr>
      <xdr:spPr>
        <a:xfrm rot="19394465">
          <a:off x="2698857" y="1856707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5400" b="1">
              <a:solidFill>
                <a:srgbClr val="FF0000"/>
              </a:solidFill>
            </a:rPr>
            <a:t>-</a:t>
          </a:r>
          <a:endParaRPr lang="it-IT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535214</xdr:colOff>
      <xdr:row>17</xdr:row>
      <xdr:rowOff>18144</xdr:rowOff>
    </xdr:from>
    <xdr:to>
      <xdr:col>8</xdr:col>
      <xdr:colOff>335644</xdr:colOff>
      <xdr:row>28</xdr:row>
      <xdr:rowOff>113394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190500</xdr:colOff>
      <xdr:row>28</xdr:row>
      <xdr:rowOff>112914</xdr:rowOff>
    </xdr:from>
    <xdr:to>
      <xdr:col>8</xdr:col>
      <xdr:colOff>390072</xdr:colOff>
      <xdr:row>56</xdr:row>
      <xdr:rowOff>38207</xdr:rowOff>
    </xdr:to>
    <xdr:graphicFrame macro="">
      <xdr:nvGraphicFramePr>
        <xdr:cNvPr id="15" name="Grafico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2</xdr:col>
      <xdr:colOff>1019488</xdr:colOff>
      <xdr:row>21</xdr:row>
      <xdr:rowOff>93235</xdr:rowOff>
    </xdr:from>
    <xdr:ext cx="400694" cy="655885"/>
    <xdr:sp macro="" textlink="">
      <xdr:nvSpPr>
        <xdr:cNvPr id="16" name="CasellaDiTesto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/>
      </xdr:nvSpPr>
      <xdr:spPr>
        <a:xfrm>
          <a:off x="3337238" y="3680985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4</xdr:col>
      <xdr:colOff>545955</xdr:colOff>
      <xdr:row>21</xdr:row>
      <xdr:rowOff>154922</xdr:rowOff>
    </xdr:from>
    <xdr:ext cx="400694" cy="655885"/>
    <xdr:sp macro="" textlink="">
      <xdr:nvSpPr>
        <xdr:cNvPr id="17" name="CasellaDiTesto 16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/>
      </xdr:nvSpPr>
      <xdr:spPr>
        <a:xfrm>
          <a:off x="6061384" y="3828851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8</xdr:col>
      <xdr:colOff>351067</xdr:colOff>
      <xdr:row>17</xdr:row>
      <xdr:rowOff>23266</xdr:rowOff>
    </xdr:from>
    <xdr:to>
      <xdr:col>13</xdr:col>
      <xdr:colOff>18144</xdr:colOff>
      <xdr:row>28</xdr:row>
      <xdr:rowOff>118516</xdr:rowOff>
    </xdr:to>
    <xdr:graphicFrame macro="">
      <xdr:nvGraphicFramePr>
        <xdr:cNvPr id="18" name="Grafico 17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344715</xdr:colOff>
      <xdr:row>28</xdr:row>
      <xdr:rowOff>136178</xdr:rowOff>
    </xdr:from>
    <xdr:to>
      <xdr:col>13</xdr:col>
      <xdr:colOff>344715</xdr:colOff>
      <xdr:row>56</xdr:row>
      <xdr:rowOff>61471</xdr:rowOff>
    </xdr:to>
    <xdr:graphicFrame macro="">
      <xdr:nvGraphicFramePr>
        <xdr:cNvPr id="19" name="Grafico 18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oneCellAnchor>
    <xdr:from>
      <xdr:col>10</xdr:col>
      <xdr:colOff>96017</xdr:colOff>
      <xdr:row>29</xdr:row>
      <xdr:rowOff>143715</xdr:rowOff>
    </xdr:from>
    <xdr:ext cx="400694" cy="655885"/>
    <xdr:sp macro="" textlink="">
      <xdr:nvSpPr>
        <xdr:cNvPr id="20" name="CasellaDiTesto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/>
      </xdr:nvSpPr>
      <xdr:spPr>
        <a:xfrm>
          <a:off x="9278117" y="5001465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12</xdr:col>
      <xdr:colOff>571501</xdr:colOff>
      <xdr:row>17</xdr:row>
      <xdr:rowOff>30522</xdr:rowOff>
    </xdr:from>
    <xdr:to>
      <xdr:col>17</xdr:col>
      <xdr:colOff>371930</xdr:colOff>
      <xdr:row>28</xdr:row>
      <xdr:rowOff>125772</xdr:rowOff>
    </xdr:to>
    <xdr:graphicFrame macro="">
      <xdr:nvGraphicFramePr>
        <xdr:cNvPr id="21" name="Grafico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13</xdr:col>
      <xdr:colOff>344715</xdr:colOff>
      <xdr:row>28</xdr:row>
      <xdr:rowOff>134363</xdr:rowOff>
    </xdr:from>
    <xdr:to>
      <xdr:col>17</xdr:col>
      <xdr:colOff>444501</xdr:colOff>
      <xdr:row>56</xdr:row>
      <xdr:rowOff>59656</xdr:rowOff>
    </xdr:to>
    <xdr:graphicFrame macro="">
      <xdr:nvGraphicFramePr>
        <xdr:cNvPr id="22" name="Grafico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oneCellAnchor>
    <xdr:from>
      <xdr:col>14</xdr:col>
      <xdr:colOff>438917</xdr:colOff>
      <xdr:row>29</xdr:row>
      <xdr:rowOff>123758</xdr:rowOff>
    </xdr:from>
    <xdr:ext cx="400694" cy="655885"/>
    <xdr:sp macro="" textlink="">
      <xdr:nvSpPr>
        <xdr:cNvPr id="23" name="CasellaDiTesto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/>
      </xdr:nvSpPr>
      <xdr:spPr>
        <a:xfrm>
          <a:off x="12059417" y="4981508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2</xdr:col>
      <xdr:colOff>421820</xdr:colOff>
      <xdr:row>17</xdr:row>
      <xdr:rowOff>9072</xdr:rowOff>
    </xdr:from>
    <xdr:to>
      <xdr:col>3</xdr:col>
      <xdr:colOff>533397</xdr:colOff>
      <xdr:row>28</xdr:row>
      <xdr:rowOff>147865</xdr:rowOff>
    </xdr:to>
    <xdr:graphicFrame macro="">
      <xdr:nvGraphicFramePr>
        <xdr:cNvPr id="24" name="Grafico 23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</xdr:col>
      <xdr:colOff>417287</xdr:colOff>
      <xdr:row>28</xdr:row>
      <xdr:rowOff>138314</xdr:rowOff>
    </xdr:from>
    <xdr:to>
      <xdr:col>3</xdr:col>
      <xdr:colOff>535215</xdr:colOff>
      <xdr:row>56</xdr:row>
      <xdr:rowOff>63607</xdr:rowOff>
    </xdr:to>
    <xdr:graphicFrame macro="">
      <xdr:nvGraphicFramePr>
        <xdr:cNvPr id="25" name="Grafico 24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17</xdr:col>
      <xdr:colOff>384736</xdr:colOff>
      <xdr:row>1</xdr:row>
      <xdr:rowOff>45356</xdr:rowOff>
    </xdr:from>
    <xdr:to>
      <xdr:col>33</xdr:col>
      <xdr:colOff>562429</xdr:colOff>
      <xdr:row>17</xdr:row>
      <xdr:rowOff>117927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360136</xdr:colOff>
      <xdr:row>17</xdr:row>
      <xdr:rowOff>101172</xdr:rowOff>
    </xdr:from>
    <xdr:to>
      <xdr:col>21</xdr:col>
      <xdr:colOff>455546</xdr:colOff>
      <xdr:row>28</xdr:row>
      <xdr:rowOff>137190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21</xdr:col>
      <xdr:colOff>469206</xdr:colOff>
      <xdr:row>17</xdr:row>
      <xdr:rowOff>85324</xdr:rowOff>
    </xdr:from>
    <xdr:to>
      <xdr:col>25</xdr:col>
      <xdr:colOff>536228</xdr:colOff>
      <xdr:row>28</xdr:row>
      <xdr:rowOff>146742</xdr:rowOff>
    </xdr:to>
    <xdr:graphicFrame macro="">
      <xdr:nvGraphicFramePr>
        <xdr:cNvPr id="28" name="Grafico 27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25</xdr:col>
      <xdr:colOff>432761</xdr:colOff>
      <xdr:row>17</xdr:row>
      <xdr:rowOff>81215</xdr:rowOff>
    </xdr:from>
    <xdr:to>
      <xdr:col>29</xdr:col>
      <xdr:colOff>502772</xdr:colOff>
      <xdr:row>28</xdr:row>
      <xdr:rowOff>142633</xdr:rowOff>
    </xdr:to>
    <xdr:graphicFrame macro="">
      <xdr:nvGraphicFramePr>
        <xdr:cNvPr id="29" name="Grafico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29</xdr:col>
      <xdr:colOff>489326</xdr:colOff>
      <xdr:row>17</xdr:row>
      <xdr:rowOff>81215</xdr:rowOff>
    </xdr:from>
    <xdr:to>
      <xdr:col>33</xdr:col>
      <xdr:colOff>559336</xdr:colOff>
      <xdr:row>28</xdr:row>
      <xdr:rowOff>142633</xdr:rowOff>
    </xdr:to>
    <xdr:graphicFrame macro="">
      <xdr:nvGraphicFramePr>
        <xdr:cNvPr id="30" name="Grafico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17</xdr:col>
      <xdr:colOff>371929</xdr:colOff>
      <xdr:row>29</xdr:row>
      <xdr:rowOff>640</xdr:rowOff>
    </xdr:from>
    <xdr:to>
      <xdr:col>21</xdr:col>
      <xdr:colOff>510669</xdr:colOff>
      <xdr:row>55</xdr:row>
      <xdr:rowOff>73210</xdr:rowOff>
    </xdr:to>
    <xdr:graphicFrame macro="">
      <xdr:nvGraphicFramePr>
        <xdr:cNvPr id="31" name="Grafico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21</xdr:col>
      <xdr:colOff>450904</xdr:colOff>
      <xdr:row>29</xdr:row>
      <xdr:rowOff>8109</xdr:rowOff>
    </xdr:from>
    <xdr:to>
      <xdr:col>25</xdr:col>
      <xdr:colOff>507467</xdr:colOff>
      <xdr:row>55</xdr:row>
      <xdr:rowOff>80679</xdr:rowOff>
    </xdr:to>
    <xdr:graphicFrame macro="">
      <xdr:nvGraphicFramePr>
        <xdr:cNvPr id="32" name="Grafico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25</xdr:col>
      <xdr:colOff>507467</xdr:colOff>
      <xdr:row>29</xdr:row>
      <xdr:rowOff>30522</xdr:rowOff>
    </xdr:from>
    <xdr:to>
      <xdr:col>29</xdr:col>
      <xdr:colOff>556560</xdr:colOff>
      <xdr:row>55</xdr:row>
      <xdr:rowOff>103092</xdr:rowOff>
    </xdr:to>
    <xdr:graphicFrame macro="">
      <xdr:nvGraphicFramePr>
        <xdr:cNvPr id="33" name="Grafico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29</xdr:col>
      <xdr:colOff>496796</xdr:colOff>
      <xdr:row>29</xdr:row>
      <xdr:rowOff>30522</xdr:rowOff>
    </xdr:from>
    <xdr:to>
      <xdr:col>33</xdr:col>
      <xdr:colOff>545888</xdr:colOff>
      <xdr:row>55</xdr:row>
      <xdr:rowOff>103092</xdr:rowOff>
    </xdr:to>
    <xdr:graphicFrame macro="">
      <xdr:nvGraphicFramePr>
        <xdr:cNvPr id="34" name="Grafico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oneCellAnchor>
    <xdr:from>
      <xdr:col>2</xdr:col>
      <xdr:colOff>994088</xdr:colOff>
      <xdr:row>22</xdr:row>
      <xdr:rowOff>17942</xdr:rowOff>
    </xdr:from>
    <xdr:ext cx="400694" cy="655885"/>
    <xdr:sp macro="" textlink="">
      <xdr:nvSpPr>
        <xdr:cNvPr id="35" name="CasellaDiTesto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 txBox="1"/>
      </xdr:nvSpPr>
      <xdr:spPr>
        <a:xfrm>
          <a:off x="3307302" y="3855156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9</xdr:col>
      <xdr:colOff>275630</xdr:colOff>
      <xdr:row>21</xdr:row>
      <xdr:rowOff>161269</xdr:rowOff>
    </xdr:from>
    <xdr:ext cx="400694" cy="655885"/>
    <xdr:sp macro="" textlink="">
      <xdr:nvSpPr>
        <xdr:cNvPr id="36" name="CasellaDiTesto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8829987" y="3835198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13</xdr:col>
      <xdr:colOff>573173</xdr:colOff>
      <xdr:row>21</xdr:row>
      <xdr:rowOff>150383</xdr:rowOff>
    </xdr:from>
    <xdr:ext cx="400694" cy="655885"/>
    <xdr:sp macro="" textlink="">
      <xdr:nvSpPr>
        <xdr:cNvPr id="37" name="CasellaDiTesto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 txBox="1"/>
      </xdr:nvSpPr>
      <xdr:spPr>
        <a:xfrm>
          <a:off x="11558673" y="3824312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18</xdr:col>
      <xdr:colOff>281072</xdr:colOff>
      <xdr:row>22</xdr:row>
      <xdr:rowOff>12498</xdr:rowOff>
    </xdr:from>
    <xdr:ext cx="400694" cy="655885"/>
    <xdr:sp macro="" textlink="">
      <xdr:nvSpPr>
        <xdr:cNvPr id="38" name="CasellaDiTesto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 txBox="1"/>
      </xdr:nvSpPr>
      <xdr:spPr>
        <a:xfrm>
          <a:off x="14305501" y="3849712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22</xdr:col>
      <xdr:colOff>360901</xdr:colOff>
      <xdr:row>22</xdr:row>
      <xdr:rowOff>10684</xdr:rowOff>
    </xdr:from>
    <xdr:ext cx="400694" cy="655885"/>
    <xdr:sp macro="" textlink="">
      <xdr:nvSpPr>
        <xdr:cNvPr id="39" name="CasellaDiTesto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16816472" y="3847898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26</xdr:col>
      <xdr:colOff>350015</xdr:colOff>
      <xdr:row>21</xdr:row>
      <xdr:rowOff>156733</xdr:rowOff>
    </xdr:from>
    <xdr:ext cx="400694" cy="655885"/>
    <xdr:sp macro="" textlink="">
      <xdr:nvSpPr>
        <xdr:cNvPr id="40" name="CasellaDiTesto 39">
          <a:extLst>
            <a:ext uri="{FF2B5EF4-FFF2-40B4-BE49-F238E27FC236}">
              <a16:creationId xmlns:a16="http://schemas.microsoft.com/office/drawing/2014/main" id="{00000000-0008-0000-0800-000028000000}"/>
            </a:ext>
          </a:extLst>
        </xdr:cNvPr>
        <xdr:cNvSpPr txBox="1"/>
      </xdr:nvSpPr>
      <xdr:spPr>
        <a:xfrm>
          <a:off x="19236729" y="3830662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30</xdr:col>
      <xdr:colOff>402629</xdr:colOff>
      <xdr:row>22</xdr:row>
      <xdr:rowOff>705</xdr:rowOff>
    </xdr:from>
    <xdr:ext cx="400694" cy="655885"/>
    <xdr:sp macro="" textlink="">
      <xdr:nvSpPr>
        <xdr:cNvPr id="41" name="CasellaDiTesto 40">
          <a:extLst>
            <a:ext uri="{FF2B5EF4-FFF2-40B4-BE49-F238E27FC236}">
              <a16:creationId xmlns:a16="http://schemas.microsoft.com/office/drawing/2014/main" id="{00000000-0008-0000-0800-000029000000}"/>
            </a:ext>
          </a:extLst>
        </xdr:cNvPr>
        <xdr:cNvSpPr txBox="1"/>
      </xdr:nvSpPr>
      <xdr:spPr>
        <a:xfrm>
          <a:off x="21720486" y="3837919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0.4516</cdr:x>
      <cdr:y>0.29375</cdr:y>
    </cdr:from>
    <cdr:to>
      <cdr:x>0.71827</cdr:x>
      <cdr:y>0.50216</cdr:y>
    </cdr:to>
    <cdr:sp macro="" textlink="'motore valutazione'!$K$2">
      <cdr:nvSpPr>
        <cdr:cNvPr id="3" name="CasellaDiTesto 2"/>
        <cdr:cNvSpPr txBox="1"/>
      </cdr:nvSpPr>
      <cdr:spPr>
        <a:xfrm xmlns:a="http://schemas.openxmlformats.org/drawingml/2006/main">
          <a:off x="2610778" y="735475"/>
          <a:ext cx="1541650" cy="521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B6C004D-098E-4AD3-9BBC-9FA1650C3C1B}" type="TxLink">
            <a:rPr lang="en-US" sz="3200" b="1" i="0" u="none" strike="noStrike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pPr algn="ctr"/>
            <a:t>68%</a:t>
          </a:fld>
          <a:endParaRPr lang="it-IT" sz="8000" b="1">
            <a:solidFill>
              <a:schemeClr val="accent6">
                <a:lumMod val="50000"/>
              </a:schemeClr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0.58824</cdr:x>
      <cdr:y>0.29224</cdr:y>
    </cdr:from>
    <cdr:to>
      <cdr:x>0.85491</cdr:x>
      <cdr:y>0.50065</cdr:y>
    </cdr:to>
    <cdr:sp macro="" textlink="'motore valutazione'!$K$53">
      <cdr:nvSpPr>
        <cdr:cNvPr id="3" name="CasellaDiTesto 2"/>
        <cdr:cNvSpPr txBox="1"/>
      </cdr:nvSpPr>
      <cdr:spPr>
        <a:xfrm xmlns:a="http://schemas.openxmlformats.org/drawingml/2006/main">
          <a:off x="3899187" y="760078"/>
          <a:ext cx="1767634" cy="542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B849127-9711-449D-B5E9-EB3F4C902942}" type="TxLink">
            <a:rPr lang="en-US" sz="2800" b="1" i="0" u="none" strike="noStrike">
              <a:solidFill>
                <a:schemeClr val="accent2">
                  <a:lumMod val="75000"/>
                </a:schemeClr>
              </a:solidFill>
              <a:latin typeface="Arial"/>
              <a:cs typeface="Arial"/>
            </a:rPr>
            <a:pPr algn="ctr"/>
            <a:t>25,00%</a:t>
          </a:fld>
          <a:endParaRPr lang="it-IT" sz="28700" b="1">
            <a:solidFill>
              <a:schemeClr val="accent2">
                <a:lumMod val="75000"/>
              </a:schemeClr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0.57319</cdr:x>
      <cdr:y>0.32014</cdr:y>
    </cdr:from>
    <cdr:to>
      <cdr:x>0.83986</cdr:x>
      <cdr:y>0.52855</cdr:y>
    </cdr:to>
    <cdr:sp macro="" textlink="'motore valutazione'!$K$32">
      <cdr:nvSpPr>
        <cdr:cNvPr id="3" name="CasellaDiTesto 2"/>
        <cdr:cNvSpPr txBox="1"/>
      </cdr:nvSpPr>
      <cdr:spPr>
        <a:xfrm xmlns:a="http://schemas.openxmlformats.org/drawingml/2006/main">
          <a:off x="3292866" y="832649"/>
          <a:ext cx="1531973" cy="542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2A228145-8428-48A0-8596-B0CA7DBECEF4}" type="TxLink">
            <a:rPr lang="en-US" sz="2800" b="1" i="0" u="none" strike="noStrike">
              <a:solidFill>
                <a:schemeClr val="accent4">
                  <a:lumMod val="75000"/>
                </a:schemeClr>
              </a:solidFill>
              <a:latin typeface="Arial"/>
              <a:cs typeface="Arial"/>
            </a:rPr>
            <a:pPr algn="ctr"/>
            <a:t>38,65%</a:t>
          </a:fld>
          <a:endParaRPr lang="it-IT" sz="7200" b="1">
            <a:solidFill>
              <a:schemeClr val="accent4">
                <a:lumMod val="75000"/>
              </a:schemeClr>
            </a:solidFill>
          </a:endParaRP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0.29804</cdr:x>
      <cdr:y>0.50853</cdr:y>
    </cdr:from>
    <cdr:to>
      <cdr:x>0.69543</cdr:x>
      <cdr:y>0.66333</cdr:y>
    </cdr:to>
    <cdr:sp macro="" textlink="'motore valutazione'!$J$33">
      <cdr:nvSpPr>
        <cdr:cNvPr id="3" name="CasellaDiTesto 2"/>
        <cdr:cNvSpPr txBox="1"/>
      </cdr:nvSpPr>
      <cdr:spPr>
        <a:xfrm xmlns:a="http://schemas.openxmlformats.org/drawingml/2006/main">
          <a:off x="806494" y="994127"/>
          <a:ext cx="1075339" cy="302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91362F0D-8B0A-4EFF-9053-05983B68F23B}" type="TxLink">
            <a:rPr lang="en-US" sz="1800" b="1" i="0" u="none" strike="noStrike">
              <a:solidFill>
                <a:schemeClr val="accent4">
                  <a:lumMod val="75000"/>
                </a:schemeClr>
              </a:solidFill>
              <a:latin typeface="Arial"/>
              <a:cs typeface="Arial"/>
            </a:rPr>
            <a:pPr algn="ctr"/>
            <a:t>-55%</a:t>
          </a:fld>
          <a:endParaRPr lang="it-IT" sz="6000" b="1">
            <a:solidFill>
              <a:schemeClr val="accent4">
                <a:lumMod val="75000"/>
              </a:schemeClr>
            </a:solidFill>
          </a:endParaRP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0.56919</cdr:x>
      <cdr:y>0.44702</cdr:y>
    </cdr:from>
    <cdr:to>
      <cdr:x>0.95835</cdr:x>
      <cdr:y>0.62122</cdr:y>
    </cdr:to>
    <cdr:sp macro="" textlink="'motore valutazione'!$L$2">
      <cdr:nvSpPr>
        <cdr:cNvPr id="3" name="CasellaDiTesto 2"/>
        <cdr:cNvSpPr txBox="1"/>
      </cdr:nvSpPr>
      <cdr:spPr>
        <a:xfrm xmlns:a="http://schemas.openxmlformats.org/drawingml/2006/main">
          <a:off x="3082852" y="1276191"/>
          <a:ext cx="2107759" cy="49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436D0C7A-BF31-4B3E-9B7B-92C5F23BEF5E}" type="TxLink">
            <a:rPr lang="en-US" sz="2800" b="1" i="0" u="none" strike="noStrike">
              <a:solidFill>
                <a:schemeClr val="accent5">
                  <a:lumMod val="50000"/>
                </a:schemeClr>
              </a:solidFill>
              <a:latin typeface="Arial"/>
              <a:cs typeface="Arial"/>
            </a:rPr>
            <a:pPr algn="ctr"/>
            <a:t>49,66%</a:t>
          </a:fld>
          <a:endParaRPr lang="it-IT" sz="2800" b="1">
            <a:solidFill>
              <a:schemeClr val="accent5">
                <a:lumMod val="50000"/>
              </a:schemeClr>
            </a:solidFill>
          </a:endParaRPr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0.3148</cdr:x>
      <cdr:y>0.47141</cdr:y>
    </cdr:from>
    <cdr:to>
      <cdr:x>0.71219</cdr:x>
      <cdr:y>0.62621</cdr:y>
    </cdr:to>
    <cdr:sp macro="" textlink="'motore valutazione'!$J$37">
      <cdr:nvSpPr>
        <cdr:cNvPr id="3" name="CasellaDiTesto 2"/>
        <cdr:cNvSpPr txBox="1"/>
      </cdr:nvSpPr>
      <cdr:spPr>
        <a:xfrm xmlns:a="http://schemas.openxmlformats.org/drawingml/2006/main">
          <a:off x="793003" y="893631"/>
          <a:ext cx="1001059" cy="293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5EB9DEDE-AA84-4DB4-ACDD-618AF0AFE6E9}" type="TxLink">
            <a:rPr lang="en-US" sz="1800" b="1" i="0" u="none" strike="noStrike">
              <a:solidFill>
                <a:schemeClr val="accent4">
                  <a:lumMod val="75000"/>
                </a:schemeClr>
              </a:solidFill>
              <a:latin typeface="Arial"/>
              <a:cs typeface="Arial"/>
            </a:rPr>
            <a:pPr algn="ctr"/>
            <a:t>30%</a:t>
          </a:fld>
          <a:endParaRPr lang="it-IT" sz="11500" b="1">
            <a:solidFill>
              <a:schemeClr val="accent4">
                <a:lumMod val="75000"/>
              </a:schemeClr>
            </a:solidFill>
          </a:endParaRPr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0.29804</cdr:x>
      <cdr:y>0.50853</cdr:y>
    </cdr:from>
    <cdr:to>
      <cdr:x>0.69543</cdr:x>
      <cdr:y>0.66333</cdr:y>
    </cdr:to>
    <cdr:sp macro="" textlink="'motore valutazione'!$J$54">
      <cdr:nvSpPr>
        <cdr:cNvPr id="3" name="CasellaDiTesto 2"/>
        <cdr:cNvSpPr txBox="1"/>
      </cdr:nvSpPr>
      <cdr:spPr>
        <a:xfrm xmlns:a="http://schemas.openxmlformats.org/drawingml/2006/main">
          <a:off x="806494" y="994127"/>
          <a:ext cx="1075339" cy="3026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CA5AC445-A910-4756-9D41-71AC27458F88}" type="TxLink">
            <a:rPr lang="en-US" sz="1800" b="1" i="0" u="none" strike="noStrike">
              <a:solidFill>
                <a:schemeClr val="accent2">
                  <a:lumMod val="75000"/>
                </a:schemeClr>
              </a:solidFill>
              <a:latin typeface="Arial"/>
              <a:cs typeface="Arial"/>
            </a:rPr>
            <a:pPr algn="ctr"/>
            <a:t>50%</a:t>
          </a:fld>
          <a:endParaRPr lang="it-IT" sz="1800" b="1">
            <a:solidFill>
              <a:schemeClr val="accent2">
                <a:lumMod val="75000"/>
              </a:schemeClr>
            </a:solidFill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0.3148</cdr:x>
      <cdr:y>0.47141</cdr:y>
    </cdr:from>
    <cdr:to>
      <cdr:x>0.71219</cdr:x>
      <cdr:y>0.62621</cdr:y>
    </cdr:to>
    <cdr:sp macro="" textlink="'motore valutazione'!$J$60">
      <cdr:nvSpPr>
        <cdr:cNvPr id="3" name="CasellaDiTesto 2"/>
        <cdr:cNvSpPr txBox="1"/>
      </cdr:nvSpPr>
      <cdr:spPr>
        <a:xfrm xmlns:a="http://schemas.openxmlformats.org/drawingml/2006/main">
          <a:off x="793003" y="893631"/>
          <a:ext cx="1001059" cy="293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ABE9734D-A6DA-4B57-82F3-C934F3723C0F}" type="TxLink">
            <a:rPr lang="en-US" sz="1800" b="1" i="0" u="none" strike="noStrike">
              <a:solidFill>
                <a:schemeClr val="accent2">
                  <a:lumMod val="75000"/>
                </a:schemeClr>
              </a:solidFill>
              <a:latin typeface="Arial"/>
              <a:cs typeface="Arial"/>
            </a:rPr>
            <a:pPr algn="ctr"/>
            <a:t>0%</a:t>
          </a:fld>
          <a:endParaRPr lang="it-IT" sz="1800" b="1">
            <a:solidFill>
              <a:schemeClr val="accent2">
                <a:lumMod val="75000"/>
              </a:schemeClr>
            </a:solidFill>
          </a:endParaRP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0.31815</cdr:x>
      <cdr:y>0.49865</cdr:y>
    </cdr:from>
    <cdr:to>
      <cdr:x>0.71554</cdr:x>
      <cdr:y>0.65345</cdr:y>
    </cdr:to>
    <cdr:sp macro="" textlink="'motore valutazione'!$J$45">
      <cdr:nvSpPr>
        <cdr:cNvPr id="3" name="CasellaDiTesto 2"/>
        <cdr:cNvSpPr txBox="1"/>
      </cdr:nvSpPr>
      <cdr:spPr>
        <a:xfrm xmlns:a="http://schemas.openxmlformats.org/drawingml/2006/main">
          <a:off x="860922" y="996512"/>
          <a:ext cx="1075339" cy="3093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9E1755A-54B7-4D89-A536-37B39C9E2B79}" type="TxLink">
            <a:rPr lang="en-US" sz="1800" b="1" i="0" u="none" strike="noStrike">
              <a:solidFill>
                <a:schemeClr val="accent4">
                  <a:lumMod val="75000"/>
                </a:schemeClr>
              </a:solidFill>
              <a:latin typeface="Arial"/>
              <a:cs typeface="Arial"/>
            </a:rPr>
            <a:pPr algn="ctr"/>
            <a:t>100%</a:t>
          </a:fld>
          <a:endParaRPr lang="it-IT" sz="34400" b="1">
            <a:solidFill>
              <a:schemeClr val="accent4">
                <a:lumMod val="75000"/>
              </a:schemeClr>
            </a:solidFill>
          </a:endParaRP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0.4516</cdr:x>
      <cdr:y>0.29375</cdr:y>
    </cdr:from>
    <cdr:to>
      <cdr:x>0.71827</cdr:x>
      <cdr:y>0.50216</cdr:y>
    </cdr:to>
    <cdr:sp macro="" textlink="'motore valutazione'!$K$2">
      <cdr:nvSpPr>
        <cdr:cNvPr id="3" name="CasellaDiTesto 2"/>
        <cdr:cNvSpPr txBox="1"/>
      </cdr:nvSpPr>
      <cdr:spPr>
        <a:xfrm xmlns:a="http://schemas.openxmlformats.org/drawingml/2006/main">
          <a:off x="2610778" y="735475"/>
          <a:ext cx="1541650" cy="521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EB6C004D-098E-4AD3-9BBC-9FA1650C3C1B}" type="TxLink">
            <a:rPr lang="en-US" sz="3200" b="1" i="0" u="none" strike="noStrike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pPr algn="ctr"/>
            <a:t>68%</a:t>
          </a:fld>
          <a:endParaRPr lang="it-IT" sz="8000" b="1">
            <a:solidFill>
              <a:schemeClr val="accent6">
                <a:lumMod val="50000"/>
              </a:schemeClr>
            </a:solidFill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0.3148</cdr:x>
      <cdr:y>0.47141</cdr:y>
    </cdr:from>
    <cdr:to>
      <cdr:x>0.71219</cdr:x>
      <cdr:y>0.62621</cdr:y>
    </cdr:to>
    <cdr:sp macro="" textlink="'motore valutazione'!$J$2">
      <cdr:nvSpPr>
        <cdr:cNvPr id="3" name="CasellaDiTesto 2"/>
        <cdr:cNvSpPr txBox="1"/>
      </cdr:nvSpPr>
      <cdr:spPr>
        <a:xfrm xmlns:a="http://schemas.openxmlformats.org/drawingml/2006/main">
          <a:off x="793003" y="893631"/>
          <a:ext cx="1001059" cy="293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6B05683-E5F2-4ED6-ACEE-A9FCF8CA2442}" type="TxLink">
            <a:rPr lang="en-US" sz="1600" b="1" i="0" u="none" strike="noStrike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pPr algn="ctr"/>
            <a:t>75%</a:t>
          </a:fld>
          <a:endParaRPr lang="it-IT" sz="3200" b="1">
            <a:solidFill>
              <a:schemeClr val="accent6">
                <a:lumMod val="50000"/>
              </a:schemeClr>
            </a:solidFill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0.3148</cdr:x>
      <cdr:y>0.47141</cdr:y>
    </cdr:from>
    <cdr:to>
      <cdr:x>0.71219</cdr:x>
      <cdr:y>0.62621</cdr:y>
    </cdr:to>
    <cdr:sp macro="" textlink="'motore valutazione'!$J$2">
      <cdr:nvSpPr>
        <cdr:cNvPr id="3" name="CasellaDiTesto 2"/>
        <cdr:cNvSpPr txBox="1"/>
      </cdr:nvSpPr>
      <cdr:spPr>
        <a:xfrm xmlns:a="http://schemas.openxmlformats.org/drawingml/2006/main">
          <a:off x="793003" y="893631"/>
          <a:ext cx="1001059" cy="2934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16B05683-E5F2-4ED6-ACEE-A9FCF8CA2442}" type="TxLink">
            <a:rPr lang="en-US" sz="1600" b="1" i="0" u="none" strike="noStrike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pPr algn="ctr"/>
            <a:t>75%</a:t>
          </a:fld>
          <a:endParaRPr lang="it-IT" sz="3200" b="1">
            <a:solidFill>
              <a:schemeClr val="accent6">
                <a:lumMod val="50000"/>
              </a:schemeClr>
            </a:solidFill>
          </a:endParaRP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0.34658</cdr:x>
      <cdr:y>0.48805</cdr:y>
    </cdr:from>
    <cdr:to>
      <cdr:x>0.69751</cdr:x>
      <cdr:y>0.66894</cdr:y>
    </cdr:to>
    <cdr:sp macro="" textlink="'motore valutazione'!$J$8">
      <cdr:nvSpPr>
        <cdr:cNvPr id="4" name="CasellaDiTesto 1"/>
        <cdr:cNvSpPr txBox="1"/>
      </cdr:nvSpPr>
      <cdr:spPr>
        <a:xfrm xmlns:a="http://schemas.openxmlformats.org/drawingml/2006/main">
          <a:off x="863228" y="937583"/>
          <a:ext cx="874058" cy="347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F24ACD92-3D25-479C-AC16-B5D3E74C117B}" type="TxLink">
            <a:rPr lang="en-US" sz="1600" b="1" i="0" u="none" strike="noStrike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pPr algn="ctr"/>
            <a:t>15%</a:t>
          </a:fld>
          <a:endParaRPr lang="it-IT" sz="60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0.11563</cdr:x>
      <cdr:y>0.58507</cdr:y>
    </cdr:from>
    <cdr:to>
      <cdr:x>0.22661</cdr:x>
      <cdr:y>0.69784</cdr:y>
    </cdr:to>
    <cdr:sp macro="" textlink="">
      <cdr:nvSpPr>
        <cdr:cNvPr id="9" name="CasellaDiTesto 8"/>
        <cdr:cNvSpPr txBox="1"/>
      </cdr:nvSpPr>
      <cdr:spPr>
        <a:xfrm xmlns:a="http://schemas.openxmlformats.org/drawingml/2006/main">
          <a:off x="287992" y="1123950"/>
          <a:ext cx="276412" cy="216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0.34349</cdr:x>
      <cdr:y>0.48805</cdr:y>
    </cdr:from>
    <cdr:to>
      <cdr:x>0.681</cdr:x>
      <cdr:y>0.66894</cdr:y>
    </cdr:to>
    <cdr:sp macro="" textlink="'motore valutazione'!$J$15">
      <cdr:nvSpPr>
        <cdr:cNvPr id="4" name="CasellaDiTesto 1"/>
        <cdr:cNvSpPr txBox="1"/>
      </cdr:nvSpPr>
      <cdr:spPr>
        <a:xfrm xmlns:a="http://schemas.openxmlformats.org/drawingml/2006/main">
          <a:off x="859118" y="937574"/>
          <a:ext cx="844177" cy="347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F2AC9C4-DDC3-4DD2-97CC-BD440C5BE49F}" type="TxLink">
            <a:rPr lang="en-US" sz="1600" b="1" i="0" u="none" strike="noStrike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pPr algn="ctr"/>
            <a:t>70%</a:t>
          </a:fld>
          <a:endParaRPr lang="it-IT" sz="9600" b="1">
            <a:solidFill>
              <a:schemeClr val="accent6">
                <a:lumMod val="50000"/>
              </a:schemeClr>
            </a:solidFill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0.31661</cdr:x>
      <cdr:y>0.48805</cdr:y>
    </cdr:from>
    <cdr:to>
      <cdr:x>0.74373</cdr:x>
      <cdr:y>0.66894</cdr:y>
    </cdr:to>
    <cdr:sp macro="" textlink="'motore valutazione'!$J$25">
      <cdr:nvSpPr>
        <cdr:cNvPr id="4" name="CasellaDiTesto 1"/>
        <cdr:cNvSpPr txBox="1"/>
      </cdr:nvSpPr>
      <cdr:spPr>
        <a:xfrm xmlns:a="http://schemas.openxmlformats.org/drawingml/2006/main">
          <a:off x="791882" y="937574"/>
          <a:ext cx="1068294" cy="347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73AFC5D5-03BD-47BF-8472-093F39D35DCD}" type="TxLink">
            <a:rPr lang="en-US" sz="1600" b="1" i="0" u="none" strike="noStrike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pPr algn="ctr"/>
            <a:t>100%</a:t>
          </a:fld>
          <a:endParaRPr lang="it-IT" sz="23900" b="1">
            <a:solidFill>
              <a:schemeClr val="accent6">
                <a:lumMod val="50000"/>
              </a:schemeClr>
            </a:solidFill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0.34658</cdr:x>
      <cdr:y>0.48805</cdr:y>
    </cdr:from>
    <cdr:to>
      <cdr:x>0.69751</cdr:x>
      <cdr:y>0.66894</cdr:y>
    </cdr:to>
    <cdr:sp macro="" textlink="'motore valutazione'!$J$8">
      <cdr:nvSpPr>
        <cdr:cNvPr id="4" name="CasellaDiTesto 1"/>
        <cdr:cNvSpPr txBox="1"/>
      </cdr:nvSpPr>
      <cdr:spPr>
        <a:xfrm xmlns:a="http://schemas.openxmlformats.org/drawingml/2006/main">
          <a:off x="863228" y="937583"/>
          <a:ext cx="874058" cy="3474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F24ACD92-3D25-479C-AC16-B5D3E74C117B}" type="TxLink">
            <a:rPr lang="en-US" sz="1600" b="1" i="0" u="none" strike="noStrike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pPr algn="ctr"/>
            <a:t>15%</a:t>
          </a:fld>
          <a:endParaRPr lang="it-IT" sz="6000" b="1">
            <a:solidFill>
              <a:schemeClr val="accent6">
                <a:lumMod val="50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0.11563</cdr:x>
      <cdr:y>0.58507</cdr:y>
    </cdr:from>
    <cdr:to>
      <cdr:x>0.22661</cdr:x>
      <cdr:y>0.69784</cdr:y>
    </cdr:to>
    <cdr:sp macro="" textlink="">
      <cdr:nvSpPr>
        <cdr:cNvPr id="9" name="CasellaDiTesto 8"/>
        <cdr:cNvSpPr txBox="1"/>
      </cdr:nvSpPr>
      <cdr:spPr>
        <a:xfrm xmlns:a="http://schemas.openxmlformats.org/drawingml/2006/main">
          <a:off x="287992" y="1123950"/>
          <a:ext cx="276412" cy="2166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0.34349</cdr:x>
      <cdr:y>0.48805</cdr:y>
    </cdr:from>
    <cdr:to>
      <cdr:x>0.681</cdr:x>
      <cdr:y>0.66894</cdr:y>
    </cdr:to>
    <cdr:sp macro="" textlink="'motore valutazione'!$J$15">
      <cdr:nvSpPr>
        <cdr:cNvPr id="4" name="CasellaDiTesto 1"/>
        <cdr:cNvSpPr txBox="1"/>
      </cdr:nvSpPr>
      <cdr:spPr>
        <a:xfrm xmlns:a="http://schemas.openxmlformats.org/drawingml/2006/main">
          <a:off x="859118" y="937574"/>
          <a:ext cx="844177" cy="347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9F2AC9C4-DDC3-4DD2-97CC-BD440C5BE49F}" type="TxLink">
            <a:rPr lang="en-US" sz="1600" b="1" i="0" u="none" strike="noStrike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pPr algn="ctr"/>
            <a:t>70%</a:t>
          </a:fld>
          <a:endParaRPr lang="it-IT" sz="9600" b="1">
            <a:solidFill>
              <a:schemeClr val="accent6">
                <a:lumMod val="50000"/>
              </a:schemeClr>
            </a:solidFill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0.31661</cdr:x>
      <cdr:y>0.48805</cdr:y>
    </cdr:from>
    <cdr:to>
      <cdr:x>0.74373</cdr:x>
      <cdr:y>0.66894</cdr:y>
    </cdr:to>
    <cdr:sp macro="" textlink="'motore valutazione'!$J$25">
      <cdr:nvSpPr>
        <cdr:cNvPr id="4" name="CasellaDiTesto 1"/>
        <cdr:cNvSpPr txBox="1"/>
      </cdr:nvSpPr>
      <cdr:spPr>
        <a:xfrm xmlns:a="http://schemas.openxmlformats.org/drawingml/2006/main">
          <a:off x="791882" y="937574"/>
          <a:ext cx="1068294" cy="3475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fld id="{73AFC5D5-03BD-47BF-8472-093F39D35DCD}" type="TxLink">
            <a:rPr lang="en-US" sz="1600" b="1" i="0" u="none" strike="noStrike">
              <a:solidFill>
                <a:schemeClr val="accent6">
                  <a:lumMod val="50000"/>
                </a:schemeClr>
              </a:solidFill>
              <a:latin typeface="Arial"/>
              <a:cs typeface="Arial"/>
            </a:rPr>
            <a:pPr algn="ctr"/>
            <a:t>100%</a:t>
          </a:fld>
          <a:endParaRPr lang="it-IT" sz="23900" b="1">
            <a:solidFill>
              <a:schemeClr val="accent6">
                <a:lumMod val="50000"/>
              </a:schemeClr>
            </a:solidFill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0.56919</cdr:x>
      <cdr:y>0.44702</cdr:y>
    </cdr:from>
    <cdr:to>
      <cdr:x>0.95835</cdr:x>
      <cdr:y>0.62122</cdr:y>
    </cdr:to>
    <cdr:sp macro="" textlink="'motore valutazione'!$L$2">
      <cdr:nvSpPr>
        <cdr:cNvPr id="3" name="CasellaDiTesto 2"/>
        <cdr:cNvSpPr txBox="1"/>
      </cdr:nvSpPr>
      <cdr:spPr>
        <a:xfrm xmlns:a="http://schemas.openxmlformats.org/drawingml/2006/main">
          <a:off x="3082852" y="1276191"/>
          <a:ext cx="2107759" cy="4973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436D0C7A-BF31-4B3E-9B7B-92C5F23BEF5E}" type="TxLink">
            <a:rPr lang="en-US" sz="2800" b="1" i="0" u="none" strike="noStrike">
              <a:solidFill>
                <a:schemeClr val="accent5">
                  <a:lumMod val="50000"/>
                </a:schemeClr>
              </a:solidFill>
              <a:latin typeface="Arial"/>
              <a:cs typeface="Arial"/>
            </a:rPr>
            <a:pPr algn="ctr"/>
            <a:t>49,66%</a:t>
          </a:fld>
          <a:endParaRPr lang="it-IT" sz="2800" b="1">
            <a:solidFill>
              <a:schemeClr val="accent5">
                <a:lumMod val="50000"/>
              </a:schemeClr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1526668</xdr:colOff>
      <xdr:row>1</xdr:row>
      <xdr:rowOff>51121</xdr:rowOff>
    </xdr:from>
    <xdr:to>
      <xdr:col>8</xdr:col>
      <xdr:colOff>344714</xdr:colOff>
      <xdr:row>17</xdr:row>
      <xdr:rowOff>39435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6352</xdr:colOff>
      <xdr:row>17</xdr:row>
      <xdr:rowOff>19958</xdr:rowOff>
    </xdr:from>
    <xdr:to>
      <xdr:col>2</xdr:col>
      <xdr:colOff>399144</xdr:colOff>
      <xdr:row>28</xdr:row>
      <xdr:rowOff>115208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5869</xdr:rowOff>
    </xdr:from>
    <xdr:to>
      <xdr:col>2</xdr:col>
      <xdr:colOff>2458359</xdr:colOff>
      <xdr:row>17</xdr:row>
      <xdr:rowOff>6987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</xdr:row>
      <xdr:rowOff>141942</xdr:rowOff>
    </xdr:from>
    <xdr:to>
      <xdr:col>2</xdr:col>
      <xdr:colOff>435429</xdr:colOff>
      <xdr:row>56</xdr:row>
      <xdr:rowOff>67235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0</xdr:col>
      <xdr:colOff>558659</xdr:colOff>
      <xdr:row>21</xdr:row>
      <xdr:rowOff>113192</xdr:rowOff>
    </xdr:from>
    <xdr:ext cx="400694" cy="655885"/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558659" y="3700942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3</xdr:col>
      <xdr:colOff>200639</xdr:colOff>
      <xdr:row>5</xdr:row>
      <xdr:rowOff>29456</xdr:rowOff>
    </xdr:from>
    <xdr:ext cx="608375" cy="937629"/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5108282" y="1027313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800" b="1">
              <a:solidFill>
                <a:schemeClr val="bg1"/>
              </a:solidFill>
            </a:rPr>
            <a:t>0</a:t>
          </a:r>
          <a:r>
            <a:rPr lang="it-IT" sz="54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9392</xdr:colOff>
      <xdr:row>6</xdr:row>
      <xdr:rowOff>70864</xdr:rowOff>
    </xdr:from>
    <xdr:ext cx="608375" cy="937629"/>
    <xdr:sp macro="" textlink="">
      <xdr:nvSpPr>
        <xdr:cNvPr id="8" name="CasellaDiTest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 txBox="1"/>
      </xdr:nvSpPr>
      <xdr:spPr>
        <a:xfrm>
          <a:off x="2320792" y="1207514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800" b="1">
              <a:solidFill>
                <a:schemeClr val="bg1"/>
              </a:solidFill>
            </a:rPr>
            <a:t>0</a:t>
          </a:r>
          <a:r>
            <a:rPr lang="it-IT" sz="54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376073</xdr:colOff>
      <xdr:row>2</xdr:row>
      <xdr:rowOff>86514</xdr:rowOff>
    </xdr:from>
    <xdr:ext cx="573665" cy="964209"/>
    <xdr:sp macro="" textlink="">
      <xdr:nvSpPr>
        <xdr:cNvPr id="9" name="CasellaDiTesto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 rot="1529992">
          <a:off x="2687473" y="588164"/>
          <a:ext cx="573665" cy="964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5400" b="1">
              <a:solidFill>
                <a:srgbClr val="92D050"/>
              </a:solidFill>
            </a:rPr>
            <a:t>-</a:t>
          </a:r>
          <a:endParaRPr lang="it-IT" sz="1100" b="1">
            <a:solidFill>
              <a:srgbClr val="92D050"/>
            </a:solidFill>
          </a:endParaRPr>
        </a:p>
      </xdr:txBody>
    </xdr:sp>
    <xdr:clientData/>
  </xdr:oneCellAnchor>
  <xdr:oneCellAnchor>
    <xdr:from>
      <xdr:col>0</xdr:col>
      <xdr:colOff>1310793</xdr:colOff>
      <xdr:row>0</xdr:row>
      <xdr:rowOff>341592</xdr:rowOff>
    </xdr:from>
    <xdr:ext cx="1444775" cy="937757"/>
    <xdr:sp macro="" textlink="">
      <xdr:nvSpPr>
        <xdr:cNvPr id="10" name="CasellaDiTest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 rot="1332062">
          <a:off x="1310793" y="341592"/>
          <a:ext cx="1444775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it-IT" sz="1800" b="1">
              <a:solidFill>
                <a:srgbClr val="92D050"/>
              </a:solidFill>
            </a:rPr>
            <a:t>Alta</a:t>
          </a:r>
        </a:p>
        <a:p>
          <a:pPr algn="r"/>
          <a:r>
            <a:rPr lang="it-IT" sz="1800" b="1">
              <a:solidFill>
                <a:schemeClr val="bg1"/>
              </a:solidFill>
            </a:rPr>
            <a:t> </a:t>
          </a:r>
          <a:r>
            <a:rPr lang="it-IT" sz="1800" b="1" baseline="0">
              <a:solidFill>
                <a:srgbClr val="92D050"/>
              </a:solidFill>
            </a:rPr>
            <a:t>sostenibilità</a:t>
          </a:r>
          <a:r>
            <a:rPr lang="it-IT" sz="1800" b="1" baseline="0">
              <a:solidFill>
                <a:schemeClr val="bg1"/>
              </a:solidFill>
            </a:rPr>
            <a:t>      	     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0</xdr:col>
      <xdr:colOff>1431705</xdr:colOff>
      <xdr:row>12</xdr:row>
      <xdr:rowOff>75641</xdr:rowOff>
    </xdr:from>
    <xdr:ext cx="1444775" cy="937757"/>
    <xdr:sp macro="" textlink="">
      <xdr:nvSpPr>
        <xdr:cNvPr id="11" name="CasellaDiTesto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/>
      </xdr:nvSpPr>
      <xdr:spPr>
        <a:xfrm rot="19855882">
          <a:off x="1431705" y="2164791"/>
          <a:ext cx="1444775" cy="9377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r"/>
          <a:r>
            <a:rPr lang="it-IT" sz="1800" b="1">
              <a:solidFill>
                <a:srgbClr val="FF0000"/>
              </a:solidFill>
            </a:rPr>
            <a:t>Bassa</a:t>
          </a:r>
        </a:p>
        <a:p>
          <a:pPr algn="r"/>
          <a:r>
            <a:rPr lang="it-IT" sz="1800" b="1">
              <a:solidFill>
                <a:schemeClr val="bg1"/>
              </a:solidFill>
            </a:rPr>
            <a:t> </a:t>
          </a:r>
          <a:r>
            <a:rPr lang="it-IT" sz="1800" b="1" baseline="0">
              <a:solidFill>
                <a:srgbClr val="FF0000"/>
              </a:solidFill>
            </a:rPr>
            <a:t>sostenibilità</a:t>
          </a:r>
          <a:r>
            <a:rPr lang="it-IT" sz="1800" b="1" baseline="0">
              <a:solidFill>
                <a:schemeClr val="bg1"/>
              </a:solidFill>
            </a:rPr>
            <a:t>      	     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2</xdr:col>
      <xdr:colOff>381107</xdr:colOff>
      <xdr:row>10</xdr:row>
      <xdr:rowOff>85057</xdr:rowOff>
    </xdr:from>
    <xdr:ext cx="608375" cy="937629"/>
    <xdr:sp macro="" textlink="">
      <xdr:nvSpPr>
        <xdr:cNvPr id="12" name="CasellaDiTesto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 txBox="1"/>
      </xdr:nvSpPr>
      <xdr:spPr>
        <a:xfrm rot="19394465">
          <a:off x="2692507" y="1856707"/>
          <a:ext cx="608375" cy="93762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5400" b="1">
              <a:solidFill>
                <a:srgbClr val="FF0000"/>
              </a:solidFill>
            </a:rPr>
            <a:t>-</a:t>
          </a:r>
          <a:endParaRPr lang="it-IT" sz="1100" b="1">
            <a:solidFill>
              <a:srgbClr val="FF0000"/>
            </a:solidFill>
          </a:endParaRPr>
        </a:p>
      </xdr:txBody>
    </xdr:sp>
    <xdr:clientData/>
  </xdr:oneCellAnchor>
  <xdr:twoCellAnchor>
    <xdr:from>
      <xdr:col>3</xdr:col>
      <xdr:colOff>535214</xdr:colOff>
      <xdr:row>17</xdr:row>
      <xdr:rowOff>18144</xdr:rowOff>
    </xdr:from>
    <xdr:to>
      <xdr:col>8</xdr:col>
      <xdr:colOff>335644</xdr:colOff>
      <xdr:row>28</xdr:row>
      <xdr:rowOff>113394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190500</xdr:colOff>
      <xdr:row>28</xdr:row>
      <xdr:rowOff>112914</xdr:rowOff>
    </xdr:from>
    <xdr:to>
      <xdr:col>8</xdr:col>
      <xdr:colOff>390072</xdr:colOff>
      <xdr:row>56</xdr:row>
      <xdr:rowOff>38207</xdr:rowOff>
    </xdr:to>
    <xdr:graphicFrame macro="">
      <xdr:nvGraphicFramePr>
        <xdr:cNvPr id="14" name="Grafico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2</xdr:col>
      <xdr:colOff>1019488</xdr:colOff>
      <xdr:row>21</xdr:row>
      <xdr:rowOff>93235</xdr:rowOff>
    </xdr:from>
    <xdr:ext cx="400694" cy="655885"/>
    <xdr:sp macro="" textlink="">
      <xdr:nvSpPr>
        <xdr:cNvPr id="15" name="CasellaDiTesto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 txBox="1"/>
      </xdr:nvSpPr>
      <xdr:spPr>
        <a:xfrm>
          <a:off x="3330888" y="3680985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5</xdr:col>
      <xdr:colOff>28884</xdr:colOff>
      <xdr:row>21</xdr:row>
      <xdr:rowOff>154922</xdr:rowOff>
    </xdr:from>
    <xdr:ext cx="400694" cy="655885"/>
    <xdr:sp macro="" textlink="">
      <xdr:nvSpPr>
        <xdr:cNvPr id="18" name="CasellaDiTesto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6150284" y="3742672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10</xdr:col>
      <xdr:colOff>96017</xdr:colOff>
      <xdr:row>29</xdr:row>
      <xdr:rowOff>143715</xdr:rowOff>
    </xdr:from>
    <xdr:ext cx="400694" cy="655885"/>
    <xdr:sp macro="" textlink="">
      <xdr:nvSpPr>
        <xdr:cNvPr id="22" name="CasellaDiTesto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SpPr txBox="1"/>
      </xdr:nvSpPr>
      <xdr:spPr>
        <a:xfrm>
          <a:off x="9258160" y="5123929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oneCellAnchor>
    <xdr:from>
      <xdr:col>14</xdr:col>
      <xdr:colOff>438917</xdr:colOff>
      <xdr:row>29</xdr:row>
      <xdr:rowOff>123758</xdr:rowOff>
    </xdr:from>
    <xdr:ext cx="400694" cy="655885"/>
    <xdr:sp macro="" textlink="">
      <xdr:nvSpPr>
        <xdr:cNvPr id="25" name="CasellaDiTesto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/>
      </xdr:nvSpPr>
      <xdr:spPr>
        <a:xfrm>
          <a:off x="12032203" y="5103972"/>
          <a:ext cx="400694" cy="6558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it-IT" sz="1200" b="1">
              <a:solidFill>
                <a:schemeClr val="bg1"/>
              </a:solidFill>
            </a:rPr>
            <a:t>0</a:t>
          </a:r>
          <a:r>
            <a:rPr lang="it-IT" sz="3600" b="1">
              <a:solidFill>
                <a:schemeClr val="bg1"/>
              </a:solidFill>
            </a:rPr>
            <a:t>-</a:t>
          </a:r>
          <a:endParaRPr lang="it-IT" sz="1100" b="1">
            <a:solidFill>
              <a:schemeClr val="bg1"/>
            </a:solidFill>
          </a:endParaRPr>
        </a:p>
      </xdr:txBody>
    </xdr:sp>
    <xdr:clientData/>
  </xdr:oneCellAnchor>
  <xdr:twoCellAnchor>
    <xdr:from>
      <xdr:col>2</xdr:col>
      <xdr:colOff>421820</xdr:colOff>
      <xdr:row>17</xdr:row>
      <xdr:rowOff>9072</xdr:rowOff>
    </xdr:from>
    <xdr:to>
      <xdr:col>3</xdr:col>
      <xdr:colOff>533397</xdr:colOff>
      <xdr:row>28</xdr:row>
      <xdr:rowOff>147865</xdr:rowOff>
    </xdr:to>
    <xdr:graphicFrame macro="">
      <xdr:nvGraphicFramePr>
        <xdr:cNvPr id="26" name="Grafico 25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417287</xdr:colOff>
      <xdr:row>28</xdr:row>
      <xdr:rowOff>138314</xdr:rowOff>
    </xdr:from>
    <xdr:to>
      <xdr:col>3</xdr:col>
      <xdr:colOff>535215</xdr:colOff>
      <xdr:row>56</xdr:row>
      <xdr:rowOff>63607</xdr:rowOff>
    </xdr:to>
    <xdr:graphicFrame macro="">
      <xdr:nvGraphicFramePr>
        <xdr:cNvPr id="27" name="Grafico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0.39653</cdr:x>
      <cdr:y>0.48032</cdr:y>
    </cdr:from>
    <cdr:to>
      <cdr:x>0.63125</cdr:x>
      <cdr:y>0.62847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1812925" y="1317625"/>
          <a:ext cx="1073150" cy="406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 sz="1100"/>
        </a:p>
      </cdr:txBody>
    </cdr:sp>
  </cdr:relSizeAnchor>
  <cdr:relSizeAnchor xmlns:cdr="http://schemas.openxmlformats.org/drawingml/2006/chartDrawing">
    <cdr:from>
      <cdr:x>0.57319</cdr:x>
      <cdr:y>0.32014</cdr:y>
    </cdr:from>
    <cdr:to>
      <cdr:x>0.83986</cdr:x>
      <cdr:y>0.52855</cdr:y>
    </cdr:to>
    <cdr:sp macro="" textlink="'motore valutazione'!$K$32">
      <cdr:nvSpPr>
        <cdr:cNvPr id="3" name="CasellaDiTesto 2"/>
        <cdr:cNvSpPr txBox="1"/>
      </cdr:nvSpPr>
      <cdr:spPr>
        <a:xfrm xmlns:a="http://schemas.openxmlformats.org/drawingml/2006/main">
          <a:off x="3292866" y="832649"/>
          <a:ext cx="1531973" cy="542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2A228145-8428-48A0-8596-B0CA7DBECEF4}" type="TxLink">
            <a:rPr lang="en-US" sz="2800" b="1" i="0" u="none" strike="noStrike">
              <a:solidFill>
                <a:schemeClr val="accent4">
                  <a:lumMod val="75000"/>
                </a:schemeClr>
              </a:solidFill>
              <a:latin typeface="Arial"/>
              <a:cs typeface="Arial"/>
            </a:rPr>
            <a:pPr algn="ctr"/>
            <a:t>38,65%</a:t>
          </a:fld>
          <a:endParaRPr lang="it-IT" sz="7200" b="1">
            <a:solidFill>
              <a:schemeClr val="accent4">
                <a:lumMod val="75000"/>
              </a:schemeClr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1"/>
  <sheetViews>
    <sheetView topLeftCell="D51" zoomScale="85" zoomScaleNormal="85" workbookViewId="0">
      <selection activeCell="D70" sqref="D70"/>
    </sheetView>
  </sheetViews>
  <sheetFormatPr defaultRowHeight="12.75"/>
  <cols>
    <col min="1" max="1" width="31.42578125" customWidth="1"/>
    <col min="2" max="2" width="12" bestFit="1" customWidth="1"/>
    <col min="3" max="3" width="20.42578125" bestFit="1" customWidth="1"/>
    <col min="4" max="4" width="33.85546875" style="18" customWidth="1"/>
    <col min="5" max="5" width="9.5703125" customWidth="1"/>
    <col min="6" max="6" width="15.42578125" customWidth="1"/>
    <col min="7" max="7" width="25.42578125" customWidth="1"/>
  </cols>
  <sheetData>
    <row r="1" spans="1:7" ht="38.25">
      <c r="C1" t="s">
        <v>23</v>
      </c>
      <c r="E1" s="49" t="s">
        <v>15</v>
      </c>
      <c r="F1" s="27" t="s">
        <v>12</v>
      </c>
      <c r="G1" s="270" t="s">
        <v>212</v>
      </c>
    </row>
    <row r="2" spans="1:7" ht="15">
      <c r="F2" s="56" t="s">
        <v>24</v>
      </c>
    </row>
    <row r="3" spans="1:7" ht="13.5" thickBot="1">
      <c r="A3" s="18"/>
      <c r="B3" s="31" t="s">
        <v>10</v>
      </c>
      <c r="C3" s="32" t="s">
        <v>301</v>
      </c>
      <c r="F3" s="50" t="s">
        <v>25</v>
      </c>
    </row>
    <row r="4" spans="1:7" ht="14.25" thickTop="1" thickBot="1">
      <c r="A4" s="19"/>
      <c r="B4" s="17"/>
      <c r="C4" s="25">
        <v>0.2</v>
      </c>
      <c r="D4" s="317" t="s">
        <v>249</v>
      </c>
      <c r="E4" s="35">
        <v>0.25</v>
      </c>
      <c r="F4" s="51">
        <v>1</v>
      </c>
    </row>
    <row r="5" spans="1:7" ht="27" thickTop="1" thickBot="1">
      <c r="A5" s="19"/>
      <c r="B5" s="17"/>
      <c r="C5" s="26"/>
      <c r="D5" s="318" t="s">
        <v>250</v>
      </c>
      <c r="E5" s="36">
        <v>0.25</v>
      </c>
      <c r="F5" s="304">
        <v>1</v>
      </c>
    </row>
    <row r="6" spans="1:7" ht="14.25" thickTop="1" thickBot="1">
      <c r="A6" s="19"/>
      <c r="B6" s="17"/>
      <c r="C6" s="26"/>
      <c r="D6" s="318" t="s">
        <v>251</v>
      </c>
      <c r="E6" s="36">
        <v>0.1</v>
      </c>
      <c r="F6" s="306">
        <f>'Inquinanti idrici'!K6</f>
        <v>1</v>
      </c>
      <c r="G6" t="s">
        <v>208</v>
      </c>
    </row>
    <row r="7" spans="1:7" ht="14.25" thickTop="1" thickBot="1">
      <c r="A7" s="19"/>
      <c r="B7" s="17"/>
      <c r="C7" s="26"/>
      <c r="D7" s="318" t="s">
        <v>252</v>
      </c>
      <c r="E7" s="36">
        <v>0.25</v>
      </c>
      <c r="F7" s="307">
        <f>'Salute del suolo'!I21</f>
        <v>0</v>
      </c>
      <c r="G7" t="s">
        <v>240</v>
      </c>
    </row>
    <row r="8" spans="1:7" ht="27" thickTop="1" thickBot="1">
      <c r="A8" s="19"/>
      <c r="B8" s="17"/>
      <c r="C8" s="26"/>
      <c r="D8" s="318" t="s">
        <v>253</v>
      </c>
      <c r="E8" s="36">
        <v>0.15</v>
      </c>
      <c r="F8" s="305">
        <v>1</v>
      </c>
    </row>
    <row r="9" spans="1:7" ht="13.5" thickTop="1">
      <c r="A9" s="19"/>
      <c r="B9" s="17"/>
      <c r="C9" s="30"/>
      <c r="D9" s="319"/>
      <c r="E9" s="37"/>
      <c r="F9" s="52" t="s">
        <v>25</v>
      </c>
    </row>
    <row r="10" spans="1:7" ht="13.5" thickBot="1">
      <c r="A10" s="19"/>
      <c r="B10" s="33" t="s">
        <v>10</v>
      </c>
      <c r="C10" s="32" t="s">
        <v>11</v>
      </c>
      <c r="D10" s="320"/>
      <c r="E10" s="24"/>
      <c r="F10" s="53" t="s">
        <v>25</v>
      </c>
    </row>
    <row r="11" spans="1:7" ht="14.25" thickTop="1" thickBot="1">
      <c r="A11" s="19"/>
      <c r="B11" s="17"/>
      <c r="C11" s="25">
        <v>0.2</v>
      </c>
      <c r="D11" s="317" t="s">
        <v>254</v>
      </c>
      <c r="E11" s="35">
        <v>0.15</v>
      </c>
      <c r="F11" s="54">
        <v>0</v>
      </c>
    </row>
    <row r="12" spans="1:7" ht="14.25" thickTop="1" thickBot="1">
      <c r="A12" s="19"/>
      <c r="B12" s="17"/>
      <c r="C12" s="26"/>
      <c r="D12" s="318" t="s">
        <v>255</v>
      </c>
      <c r="E12" s="36">
        <v>0.25</v>
      </c>
      <c r="F12" s="54">
        <v>0</v>
      </c>
    </row>
    <row r="13" spans="1:7" ht="21.75" thickTop="1" thickBot="1">
      <c r="A13" s="20" t="s">
        <v>8</v>
      </c>
      <c r="B13" s="17"/>
      <c r="C13" s="26"/>
      <c r="D13" s="318" t="s">
        <v>256</v>
      </c>
      <c r="E13" s="36">
        <v>0.1</v>
      </c>
      <c r="F13" s="54">
        <v>0</v>
      </c>
    </row>
    <row r="14" spans="1:7" ht="21.75" thickTop="1" thickBot="1">
      <c r="A14" s="34" t="s">
        <v>9</v>
      </c>
      <c r="B14" s="17"/>
      <c r="C14" s="26"/>
      <c r="D14" s="318" t="s">
        <v>257</v>
      </c>
      <c r="E14" s="36">
        <v>0.15</v>
      </c>
      <c r="F14" s="54">
        <v>0</v>
      </c>
    </row>
    <row r="15" spans="1:7" ht="14.25" thickTop="1" thickBot="1">
      <c r="A15" s="22">
        <v>0.5</v>
      </c>
      <c r="B15" s="17"/>
      <c r="C15" s="26"/>
      <c r="D15" s="318" t="s">
        <v>258</v>
      </c>
      <c r="E15" s="36">
        <v>0.2</v>
      </c>
      <c r="F15" s="54">
        <v>0</v>
      </c>
    </row>
    <row r="16" spans="1:7" ht="28.5" thickTop="1" thickBot="1">
      <c r="A16" s="28"/>
      <c r="B16" s="17"/>
      <c r="C16" s="26"/>
      <c r="D16" s="318" t="s">
        <v>259</v>
      </c>
      <c r="E16" s="36">
        <v>0.15</v>
      </c>
      <c r="F16" s="54">
        <v>1</v>
      </c>
    </row>
    <row r="17" spans="1:7" ht="13.5" thickTop="1">
      <c r="A17" s="22"/>
      <c r="B17" s="17"/>
      <c r="C17" s="30"/>
      <c r="D17" s="319"/>
      <c r="E17" s="37"/>
      <c r="F17" s="50" t="s">
        <v>25</v>
      </c>
    </row>
    <row r="18" spans="1:7" ht="13.5" thickBot="1">
      <c r="A18" s="19"/>
      <c r="B18" s="33" t="s">
        <v>10</v>
      </c>
      <c r="C18" s="32" t="s">
        <v>300</v>
      </c>
      <c r="D18" s="320"/>
      <c r="E18" s="24"/>
      <c r="F18" s="50" t="s">
        <v>25</v>
      </c>
    </row>
    <row r="19" spans="1:7" ht="14.25" thickTop="1" thickBot="1">
      <c r="A19" s="19"/>
      <c r="B19" s="18"/>
      <c r="C19" s="25">
        <v>0.35</v>
      </c>
      <c r="D19" s="317" t="s">
        <v>260</v>
      </c>
      <c r="E19" s="35">
        <v>0.15</v>
      </c>
      <c r="F19" s="54">
        <v>1</v>
      </c>
    </row>
    <row r="20" spans="1:7" ht="14.25" thickTop="1" thickBot="1">
      <c r="A20" s="19"/>
      <c r="B20" s="18"/>
      <c r="C20" s="26"/>
      <c r="D20" s="318" t="s">
        <v>261</v>
      </c>
      <c r="E20" s="35">
        <v>0.15</v>
      </c>
      <c r="F20" s="54">
        <v>1</v>
      </c>
    </row>
    <row r="21" spans="1:7" ht="27" thickTop="1" thickBot="1">
      <c r="A21" s="19"/>
      <c r="B21" s="18"/>
      <c r="C21" s="26"/>
      <c r="D21" s="318" t="s">
        <v>262</v>
      </c>
      <c r="E21" s="35">
        <v>0.05</v>
      </c>
      <c r="F21" s="54">
        <v>1</v>
      </c>
    </row>
    <row r="22" spans="1:7" ht="27" thickTop="1" thickBot="1">
      <c r="A22" s="19"/>
      <c r="B22" s="18"/>
      <c r="C22" s="26"/>
      <c r="D22" s="318" t="s">
        <v>263</v>
      </c>
      <c r="E22" s="35">
        <v>0.05</v>
      </c>
      <c r="F22" s="308">
        <f>Tabella_razione!A39</f>
        <v>-1</v>
      </c>
      <c r="G22" t="s">
        <v>206</v>
      </c>
    </row>
    <row r="23" spans="1:7" ht="14.25" thickTop="1" thickBot="1">
      <c r="A23" s="19"/>
      <c r="B23" s="18"/>
      <c r="C23" s="26"/>
      <c r="D23" s="318" t="s">
        <v>264</v>
      </c>
      <c r="E23" s="35">
        <v>0.15</v>
      </c>
      <c r="F23" s="308">
        <f>Tabella_razione!A35</f>
        <v>0</v>
      </c>
      <c r="G23" t="s">
        <v>206</v>
      </c>
    </row>
    <row r="24" spans="1:7" ht="14.25" thickTop="1" thickBot="1">
      <c r="A24" s="19"/>
      <c r="B24" s="18"/>
      <c r="C24" s="26"/>
      <c r="D24" s="318" t="s">
        <v>265</v>
      </c>
      <c r="E24" s="36">
        <v>0.15</v>
      </c>
      <c r="F24" s="54">
        <v>1</v>
      </c>
    </row>
    <row r="25" spans="1:7" ht="27" thickTop="1" thickBot="1">
      <c r="A25" s="19"/>
      <c r="B25" s="18"/>
      <c r="C25" s="26"/>
      <c r="D25" s="318" t="s">
        <v>266</v>
      </c>
      <c r="E25" s="35">
        <v>0.05</v>
      </c>
      <c r="F25" s="54">
        <v>1</v>
      </c>
    </row>
    <row r="26" spans="1:7" ht="14.25" thickTop="1" thickBot="1">
      <c r="A26" s="19"/>
      <c r="B26" s="18"/>
      <c r="C26" s="26"/>
      <c r="D26" s="318" t="s">
        <v>267</v>
      </c>
      <c r="E26" s="35">
        <v>0.2</v>
      </c>
      <c r="F26" s="54">
        <v>1</v>
      </c>
    </row>
    <row r="27" spans="1:7" ht="27" thickTop="1" thickBot="1">
      <c r="A27" s="19"/>
      <c r="B27" s="18"/>
      <c r="C27" s="26"/>
      <c r="D27" s="318" t="s">
        <v>295</v>
      </c>
      <c r="E27" s="36">
        <v>0.05</v>
      </c>
      <c r="F27" s="54">
        <v>0</v>
      </c>
    </row>
    <row r="28" spans="1:7" ht="13.5" thickTop="1">
      <c r="A28" s="19"/>
      <c r="B28" s="18"/>
      <c r="C28" s="30"/>
      <c r="D28" s="319"/>
      <c r="E28" s="37"/>
      <c r="F28" s="50" t="s">
        <v>25</v>
      </c>
    </row>
    <row r="29" spans="1:7" ht="13.5" thickBot="1">
      <c r="B29" s="33" t="s">
        <v>10</v>
      </c>
      <c r="C29" s="332" t="s">
        <v>299</v>
      </c>
      <c r="D29" s="21"/>
      <c r="E29" s="24"/>
      <c r="F29" s="50" t="s">
        <v>25</v>
      </c>
    </row>
    <row r="30" spans="1:7" ht="14.25" thickTop="1" thickBot="1">
      <c r="C30" s="25">
        <v>0.25</v>
      </c>
      <c r="D30" s="317" t="s">
        <v>269</v>
      </c>
      <c r="E30" s="35">
        <v>0.2</v>
      </c>
      <c r="F30" s="54">
        <v>1</v>
      </c>
    </row>
    <row r="31" spans="1:7" ht="14.25" thickTop="1" thickBot="1">
      <c r="C31" s="19"/>
      <c r="D31" s="318" t="s">
        <v>270</v>
      </c>
      <c r="E31" s="36">
        <v>0.1</v>
      </c>
      <c r="F31" s="54">
        <v>1</v>
      </c>
    </row>
    <row r="32" spans="1:7" ht="14.25" thickTop="1" thickBot="1">
      <c r="C32" s="19"/>
      <c r="D32" s="318" t="s">
        <v>248</v>
      </c>
      <c r="E32" s="36">
        <v>0.2</v>
      </c>
      <c r="F32" s="54">
        <v>1</v>
      </c>
    </row>
    <row r="33" spans="1:6" ht="14.25" thickTop="1" thickBot="1">
      <c r="C33" s="19"/>
      <c r="D33" s="321" t="s">
        <v>271</v>
      </c>
      <c r="E33" s="316">
        <v>0.1</v>
      </c>
      <c r="F33" s="54">
        <v>1</v>
      </c>
    </row>
    <row r="34" spans="1:6" ht="14.25" thickTop="1" thickBot="1">
      <c r="C34" s="19"/>
      <c r="D34" s="318" t="s">
        <v>272</v>
      </c>
      <c r="E34" s="36">
        <v>0.2</v>
      </c>
      <c r="F34" s="55">
        <v>1</v>
      </c>
    </row>
    <row r="35" spans="1:6" ht="14.25" thickTop="1" thickBot="1">
      <c r="C35" s="19"/>
      <c r="D35" s="318" t="s">
        <v>273</v>
      </c>
      <c r="E35" s="36">
        <v>0.2</v>
      </c>
      <c r="F35" s="54">
        <v>1</v>
      </c>
    </row>
    <row r="36" spans="1:6" ht="13.5" thickTop="1">
      <c r="A36" s="18"/>
      <c r="C36" s="311"/>
      <c r="D36" s="312"/>
      <c r="F36" s="50" t="s">
        <v>25</v>
      </c>
    </row>
    <row r="37" spans="1:6">
      <c r="C37" s="18"/>
      <c r="D37" s="322"/>
      <c r="F37" s="50" t="s">
        <v>25</v>
      </c>
    </row>
    <row r="38" spans="1:6">
      <c r="C38" s="18"/>
      <c r="D38" s="322"/>
      <c r="F38" s="50" t="s">
        <v>25</v>
      </c>
    </row>
    <row r="39" spans="1:6" ht="13.5" thickBot="1">
      <c r="A39" s="18"/>
      <c r="B39" s="57" t="s">
        <v>10</v>
      </c>
      <c r="C39" s="63" t="s">
        <v>298</v>
      </c>
      <c r="D39" s="322"/>
      <c r="E39" s="18"/>
      <c r="F39" s="50" t="s">
        <v>25</v>
      </c>
    </row>
    <row r="40" spans="1:6" ht="14.25" thickTop="1" thickBot="1">
      <c r="A40" s="58"/>
      <c r="C40" s="59">
        <v>0.17</v>
      </c>
      <c r="D40" s="323" t="s">
        <v>274</v>
      </c>
      <c r="E40" s="64">
        <v>0.45</v>
      </c>
      <c r="F40" s="54">
        <v>0</v>
      </c>
    </row>
    <row r="41" spans="1:6" ht="14.25" thickTop="1" thickBot="1">
      <c r="A41" s="58"/>
      <c r="C41" s="58"/>
      <c r="D41" s="324" t="s">
        <v>275</v>
      </c>
      <c r="E41" s="65">
        <v>0.45</v>
      </c>
      <c r="F41" s="54">
        <v>-1</v>
      </c>
    </row>
    <row r="42" spans="1:6" ht="14.25" thickTop="1" thickBot="1">
      <c r="A42" s="58"/>
      <c r="C42" s="58"/>
      <c r="D42" s="324" t="s">
        <v>276</v>
      </c>
      <c r="E42" s="65">
        <v>0.1</v>
      </c>
      <c r="F42" s="54">
        <v>-1</v>
      </c>
    </row>
    <row r="43" spans="1:6" ht="21" thickTop="1">
      <c r="A43" s="61" t="s">
        <v>8</v>
      </c>
      <c r="C43" s="18"/>
      <c r="D43" s="325"/>
      <c r="E43" s="60"/>
      <c r="F43" s="50" t="s">
        <v>25</v>
      </c>
    </row>
    <row r="44" spans="1:6" ht="21" thickBot="1">
      <c r="A44" s="66" t="s">
        <v>16</v>
      </c>
      <c r="B44" s="57" t="s">
        <v>10</v>
      </c>
      <c r="C44" s="63" t="s">
        <v>14</v>
      </c>
      <c r="D44" s="325"/>
      <c r="F44" s="50" t="s">
        <v>25</v>
      </c>
    </row>
    <row r="45" spans="1:6" ht="27" thickTop="1" thickBot="1">
      <c r="A45" s="62">
        <v>0.25</v>
      </c>
      <c r="C45" s="59">
        <v>0.33</v>
      </c>
      <c r="D45" s="326" t="s">
        <v>277</v>
      </c>
      <c r="E45" s="64">
        <v>0.25</v>
      </c>
      <c r="F45" s="54">
        <v>1</v>
      </c>
    </row>
    <row r="46" spans="1:6" ht="14.25" thickTop="1" thickBot="1">
      <c r="A46" s="58"/>
      <c r="C46" s="58"/>
      <c r="D46" s="327" t="s">
        <v>278</v>
      </c>
      <c r="E46" s="64">
        <v>0.5</v>
      </c>
      <c r="F46" s="54">
        <v>1</v>
      </c>
    </row>
    <row r="47" spans="1:6" ht="14.25" thickTop="1" thickBot="1">
      <c r="A47" s="58"/>
      <c r="C47" s="58"/>
      <c r="D47" s="327" t="s">
        <v>279</v>
      </c>
      <c r="E47" s="64">
        <v>0.25</v>
      </c>
      <c r="F47" s="54">
        <v>1</v>
      </c>
    </row>
    <row r="48" spans="1:6" ht="13.5" thickTop="1">
      <c r="A48" s="58"/>
      <c r="C48" s="18"/>
      <c r="D48" s="319"/>
      <c r="E48" s="37"/>
      <c r="F48" s="50" t="s">
        <v>25</v>
      </c>
    </row>
    <row r="49" spans="1:7" ht="13.5" thickBot="1">
      <c r="A49" s="58"/>
      <c r="B49" s="79" t="s">
        <v>10</v>
      </c>
      <c r="C49" s="63" t="s">
        <v>297</v>
      </c>
      <c r="D49" s="325"/>
      <c r="E49" s="37"/>
      <c r="F49" s="50" t="s">
        <v>25</v>
      </c>
    </row>
    <row r="50" spans="1:7" ht="14.25" thickTop="1" thickBot="1">
      <c r="C50" s="59">
        <v>0.5</v>
      </c>
      <c r="D50" s="326" t="s">
        <v>280</v>
      </c>
      <c r="E50" s="64">
        <v>0.2</v>
      </c>
      <c r="F50" s="263">
        <f>Tabella_razione!A31</f>
        <v>-1</v>
      </c>
      <c r="G50" t="s">
        <v>206</v>
      </c>
    </row>
    <row r="51" spans="1:7" ht="14.25" thickTop="1" thickBot="1">
      <c r="C51" s="58"/>
      <c r="D51" s="327" t="s">
        <v>281</v>
      </c>
      <c r="E51" s="64">
        <v>0.05</v>
      </c>
      <c r="F51" s="54">
        <v>1</v>
      </c>
    </row>
    <row r="52" spans="1:7" ht="27" thickTop="1" thickBot="1">
      <c r="C52" s="58"/>
      <c r="D52" s="327" t="s">
        <v>282</v>
      </c>
      <c r="E52" s="64">
        <v>0.05</v>
      </c>
      <c r="F52" s="54">
        <v>0</v>
      </c>
    </row>
    <row r="53" spans="1:7" ht="14.25" thickTop="1" thickBot="1">
      <c r="C53" s="58"/>
      <c r="D53" s="327" t="s">
        <v>283</v>
      </c>
      <c r="E53" s="64">
        <v>0.15</v>
      </c>
      <c r="F53" s="54">
        <v>1</v>
      </c>
    </row>
    <row r="54" spans="1:7" ht="14.25" thickTop="1" thickBot="1">
      <c r="C54" s="58"/>
      <c r="D54" s="327" t="s">
        <v>284</v>
      </c>
      <c r="E54" s="64">
        <v>0.15</v>
      </c>
      <c r="F54" s="54">
        <v>1</v>
      </c>
    </row>
    <row r="55" spans="1:7" ht="14.25" thickTop="1" thickBot="1">
      <c r="C55" s="58"/>
      <c r="D55" s="327" t="s">
        <v>285</v>
      </c>
      <c r="E55" s="64">
        <v>0.15</v>
      </c>
      <c r="F55" s="54">
        <v>1</v>
      </c>
    </row>
    <row r="56" spans="1:7" ht="27" thickTop="1" thickBot="1">
      <c r="C56" s="58"/>
      <c r="D56" s="327" t="s">
        <v>286</v>
      </c>
      <c r="E56" s="64">
        <v>0.25</v>
      </c>
      <c r="F56" s="54">
        <v>0</v>
      </c>
    </row>
    <row r="57" spans="1:7" ht="13.5" thickTop="1">
      <c r="D57" s="328"/>
      <c r="F57" s="50" t="s">
        <v>25</v>
      </c>
    </row>
    <row r="58" spans="1:7">
      <c r="D58" s="325"/>
      <c r="F58" s="50" t="s">
        <v>25</v>
      </c>
    </row>
    <row r="59" spans="1:7" ht="13.5" thickBot="1">
      <c r="B59" s="70" t="s">
        <v>10</v>
      </c>
      <c r="C59" s="73" t="s">
        <v>20</v>
      </c>
      <c r="D59" s="325"/>
      <c r="E59" s="18"/>
      <c r="F59" s="50" t="s">
        <v>25</v>
      </c>
    </row>
    <row r="60" spans="1:7" ht="14.25" thickTop="1" thickBot="1">
      <c r="A60" s="68"/>
      <c r="C60" s="74">
        <v>0.5</v>
      </c>
      <c r="D60" s="329" t="s">
        <v>287</v>
      </c>
      <c r="E60" s="75">
        <v>0.2</v>
      </c>
      <c r="F60" s="54">
        <v>1</v>
      </c>
    </row>
    <row r="61" spans="1:7" ht="14.25" thickTop="1" thickBot="1">
      <c r="A61" s="68"/>
      <c r="C61" s="68"/>
      <c r="D61" s="329" t="s">
        <v>288</v>
      </c>
      <c r="E61" s="76">
        <v>0.30000000000000004</v>
      </c>
      <c r="F61" s="54">
        <v>1</v>
      </c>
    </row>
    <row r="62" spans="1:7" ht="21.75" thickTop="1" thickBot="1">
      <c r="A62" s="69" t="s">
        <v>8</v>
      </c>
      <c r="C62" s="68"/>
      <c r="D62" s="329" t="s">
        <v>289</v>
      </c>
      <c r="E62" s="76">
        <v>0.1</v>
      </c>
      <c r="F62" s="54">
        <v>0</v>
      </c>
    </row>
    <row r="63" spans="1:7" ht="21.75" thickTop="1" thickBot="1">
      <c r="A63" s="67" t="s">
        <v>22</v>
      </c>
      <c r="C63" s="68"/>
      <c r="D63" s="329" t="s">
        <v>290</v>
      </c>
      <c r="E63" s="76">
        <v>0.2</v>
      </c>
      <c r="F63" s="54">
        <v>0</v>
      </c>
    </row>
    <row r="64" spans="1:7" ht="27" thickTop="1" thickBot="1">
      <c r="A64" s="71">
        <v>0.25</v>
      </c>
      <c r="C64" s="68"/>
      <c r="D64" s="329" t="s">
        <v>291</v>
      </c>
      <c r="E64" s="76">
        <v>0.2</v>
      </c>
      <c r="F64" s="54">
        <v>0</v>
      </c>
    </row>
    <row r="65" spans="1:7" ht="13.5" thickTop="1">
      <c r="A65" s="68"/>
      <c r="D65" s="322"/>
      <c r="F65" s="50" t="s">
        <v>25</v>
      </c>
    </row>
    <row r="66" spans="1:7">
      <c r="A66" s="68"/>
      <c r="D66" s="322"/>
      <c r="F66" s="50" t="s">
        <v>25</v>
      </c>
    </row>
    <row r="67" spans="1:7" ht="13.5" thickBot="1">
      <c r="A67" s="68"/>
      <c r="B67" s="72" t="s">
        <v>10</v>
      </c>
      <c r="C67" s="73" t="s">
        <v>21</v>
      </c>
      <c r="D67" s="322"/>
      <c r="F67" s="50" t="s">
        <v>25</v>
      </c>
    </row>
    <row r="68" spans="1:7" ht="14.25" thickTop="1" thickBot="1">
      <c r="C68" s="77">
        <v>0.5</v>
      </c>
      <c r="D68" s="330" t="s">
        <v>292</v>
      </c>
      <c r="E68" s="75">
        <v>0.30000000000000004</v>
      </c>
      <c r="F68" s="309">
        <f>'Bilancio economico'!P8</f>
        <v>-1</v>
      </c>
      <c r="G68" t="s">
        <v>207</v>
      </c>
    </row>
    <row r="69" spans="1:7" ht="14.25" thickTop="1" thickBot="1">
      <c r="C69" s="68"/>
      <c r="D69" s="331" t="s">
        <v>293</v>
      </c>
      <c r="E69" s="76">
        <v>0.4</v>
      </c>
      <c r="F69" s="310">
        <f>'Bilancio economico'!P11</f>
        <v>0</v>
      </c>
      <c r="G69" t="s">
        <v>207</v>
      </c>
    </row>
    <row r="70" spans="1:7" ht="14.25" thickTop="1" thickBot="1">
      <c r="C70" s="68"/>
      <c r="D70" s="331" t="s">
        <v>296</v>
      </c>
      <c r="E70" s="76">
        <v>0.30000000000000004</v>
      </c>
      <c r="F70" s="310">
        <f>'Bilancio economico'!P14</f>
        <v>1</v>
      </c>
      <c r="G70" t="s">
        <v>207</v>
      </c>
    </row>
    <row r="71" spans="1:7" ht="13.5" thickTop="1"/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4"/>
  <sheetViews>
    <sheetView topLeftCell="D40" workbookViewId="0">
      <selection activeCell="D61" sqref="D61"/>
    </sheetView>
  </sheetViews>
  <sheetFormatPr defaultColWidth="11.5703125" defaultRowHeight="12.75"/>
  <cols>
    <col min="4" max="4" width="58.85546875" bestFit="1" customWidth="1"/>
    <col min="8" max="9" width="11.5703125" style="45"/>
    <col min="10" max="10" width="20" style="23" bestFit="1" customWidth="1"/>
    <col min="11" max="11" width="20.5703125" customWidth="1"/>
    <col min="12" max="12" width="21.85546875" customWidth="1"/>
  </cols>
  <sheetData>
    <row r="1" spans="1:14" ht="20.25" thickBot="1">
      <c r="A1" s="1" t="s">
        <v>18</v>
      </c>
      <c r="B1" s="2">
        <v>0.5</v>
      </c>
      <c r="G1" t="str">
        <f>'valori e pesi DEXI-INVERSION'!F2</f>
        <v>Azienda1</v>
      </c>
      <c r="J1" s="23" t="s">
        <v>0</v>
      </c>
      <c r="K1" t="s">
        <v>1</v>
      </c>
      <c r="L1" t="s">
        <v>2</v>
      </c>
      <c r="N1" t="s">
        <v>3</v>
      </c>
    </row>
    <row r="2" spans="1:14">
      <c r="C2" s="6" t="str">
        <f>'valori e pesi DEXI-INVERSION'!C3</f>
        <v xml:space="preserve">Aria acqua suolo </v>
      </c>
      <c r="D2" s="3">
        <f>'valori e pesi DEXI-INVERSION'!C4</f>
        <v>0.2</v>
      </c>
      <c r="J2" s="38">
        <f>IF(SUMIFS(E3:E7,G3:G7,"&gt;=-1",G3:G7,"&lt;=1")&gt;0,SUMPRODUCT(E3:E7,G3:G7)/SUMIFS(E3:E7,G3:G7,"&gt;=-1",G3:G7,"&lt;=1"),"")</f>
        <v>0.75</v>
      </c>
      <c r="K2" s="314">
        <f>SUMPRODUCT(D2:D31,J2:J31)/SUMIFS(D2:D31,J2:J31,"&gt;=-1",J2:J31,"&lt;=1")</f>
        <v>0.67500000000000004</v>
      </c>
      <c r="L2" s="4">
        <f>K2*B1+K32*B32+K53*B53</f>
        <v>0.49662499999999998</v>
      </c>
      <c r="N2" s="4" t="s">
        <v>4</v>
      </c>
    </row>
    <row r="3" spans="1:14">
      <c r="C3" s="6"/>
      <c r="D3" s="6" t="str">
        <f>'valori e pesi DEXI-INVERSION'!D4</f>
        <v>1.1.1. Riduzione dei GHG</v>
      </c>
      <c r="E3" s="6">
        <f>'valori e pesi DEXI-INVERSION'!E4</f>
        <v>0.25</v>
      </c>
      <c r="F3" s="46">
        <f>0.01+G3*E3</f>
        <v>0.26</v>
      </c>
      <c r="G3" s="7">
        <f>'valori e pesi DEXI-INVERSION'!F4</f>
        <v>1</v>
      </c>
      <c r="H3" s="44">
        <f>E3*G3</f>
        <v>0.25</v>
      </c>
      <c r="I3" s="42">
        <f>J2+1</f>
        <v>1.75</v>
      </c>
      <c r="K3" s="42">
        <f>K2+1</f>
        <v>1.675</v>
      </c>
      <c r="L3" s="39">
        <f>L2+1</f>
        <v>1.4966249999999999</v>
      </c>
      <c r="N3" s="8" t="s">
        <v>5</v>
      </c>
    </row>
    <row r="4" spans="1:14" ht="13.5" thickBot="1">
      <c r="D4" s="6" t="str">
        <f>'valori e pesi DEXI-INVERSION'!D5</f>
        <v>1.1.2. Conservazione della risorsa idrica</v>
      </c>
      <c r="E4" s="6">
        <f>'valori e pesi DEXI-INVERSION'!E5</f>
        <v>0.25</v>
      </c>
      <c r="F4" s="46">
        <f>0.01+G4*E4</f>
        <v>0.26</v>
      </c>
      <c r="G4" s="7">
        <f>'valori e pesi DEXI-INVERSION'!F5</f>
        <v>1</v>
      </c>
      <c r="H4" s="44">
        <f t="shared" ref="H4:H36" si="0">E4*G4</f>
        <v>0.25</v>
      </c>
      <c r="I4" s="43">
        <f>2-I3</f>
        <v>0.25</v>
      </c>
      <c r="K4" s="43">
        <f>2-K3</f>
        <v>0.32499999999999996</v>
      </c>
      <c r="L4" s="40">
        <f>2-L3</f>
        <v>0.50337500000000013</v>
      </c>
      <c r="N4" s="9" t="s">
        <v>6</v>
      </c>
    </row>
    <row r="5" spans="1:14">
      <c r="D5" s="6" t="str">
        <f>'valori e pesi DEXI-INVERSION'!D6</f>
        <v>1.1.3. Inquinanti idrici</v>
      </c>
      <c r="E5" s="6">
        <f>'valori e pesi DEXI-INVERSION'!E6</f>
        <v>0.1</v>
      </c>
      <c r="F5" s="46">
        <f>0.01+G5*E5</f>
        <v>0.11</v>
      </c>
      <c r="G5" s="7">
        <f>'valori e pesi DEXI-INVERSION'!F6</f>
        <v>1</v>
      </c>
      <c r="H5" s="44">
        <f t="shared" si="0"/>
        <v>0.1</v>
      </c>
      <c r="I5" s="44"/>
    </row>
    <row r="6" spans="1:14">
      <c r="D6" s="6" t="str">
        <f>'valori e pesi DEXI-INVERSION'!D7</f>
        <v>1.1.4. Salute del suolo</v>
      </c>
      <c r="E6" s="6">
        <f>'valori e pesi DEXI-INVERSION'!E7</f>
        <v>0.25</v>
      </c>
      <c r="F6" s="46">
        <f>0.01+G6*E6</f>
        <v>0.01</v>
      </c>
      <c r="G6" s="7">
        <f>'valori e pesi DEXI-INVERSION'!F7</f>
        <v>0</v>
      </c>
      <c r="H6" s="44">
        <f t="shared" si="0"/>
        <v>0</v>
      </c>
      <c r="I6" s="44"/>
    </row>
    <row r="7" spans="1:14">
      <c r="D7" s="6" t="str">
        <f>'valori e pesi DEXI-INVERSION'!D8</f>
        <v>1.1.5. Protezione contro l'erosione, copertura colturale del suolo</v>
      </c>
      <c r="E7" s="6">
        <f>'valori e pesi DEXI-INVERSION'!E8</f>
        <v>0.15</v>
      </c>
      <c r="F7" s="46">
        <f>0.01+G7*E7</f>
        <v>0.16</v>
      </c>
      <c r="G7" s="7">
        <f>'valori e pesi DEXI-INVERSION'!F8</f>
        <v>1</v>
      </c>
      <c r="H7" s="44">
        <f t="shared" si="0"/>
        <v>0.15</v>
      </c>
      <c r="I7" s="44"/>
    </row>
    <row r="8" spans="1:14">
      <c r="C8" s="6" t="str">
        <f>'valori e pesi DEXI-INVERSION'!C10</f>
        <v>Biodiversità</v>
      </c>
      <c r="D8" s="3">
        <f>'valori e pesi DEXI-INVERSION'!C11</f>
        <v>0.2</v>
      </c>
      <c r="E8" s="6"/>
      <c r="G8" s="29"/>
      <c r="H8" s="44">
        <f t="shared" si="0"/>
        <v>0</v>
      </c>
      <c r="I8" s="44"/>
      <c r="J8" s="38">
        <f>IF(SUMIFS(E9:E14,G9:G14,"&gt;=-1",G9:G14,"&lt;=1")&gt;0,SUMPRODUCT(E9:E14,G9:G14)/SUMIFS(E9:E14,G9:G14,"&gt;=-1",G9:G14,"&lt;=1"),"")</f>
        <v>0.15</v>
      </c>
    </row>
    <row r="9" spans="1:14">
      <c r="C9" s="6"/>
      <c r="D9" s="6" t="str">
        <f>'valori e pesi DEXI-INVERSION'!D11</f>
        <v>1.2.1. Aree di interesse ecologico</v>
      </c>
      <c r="E9" s="6">
        <f>'valori e pesi DEXI-INVERSION'!E11</f>
        <v>0.15</v>
      </c>
      <c r="F9" s="46">
        <f t="shared" ref="F9:F14" si="1">0.01+G9*E9</f>
        <v>0.01</v>
      </c>
      <c r="G9" s="7">
        <f>'valori e pesi DEXI-INVERSION'!F11</f>
        <v>0</v>
      </c>
      <c r="H9" s="44">
        <f t="shared" si="0"/>
        <v>0</v>
      </c>
      <c r="I9" s="42">
        <f>J8+1</f>
        <v>1.1499999999999999</v>
      </c>
    </row>
    <row r="10" spans="1:14" ht="13.5" thickBot="1">
      <c r="D10" s="6" t="str">
        <f>'valori e pesi DEXI-INVERSION'!D12</f>
        <v>1.2.2. Biodiversita' animale</v>
      </c>
      <c r="E10" s="6">
        <f>'valori e pesi DEXI-INVERSION'!E12</f>
        <v>0.25</v>
      </c>
      <c r="F10" s="46">
        <f t="shared" si="1"/>
        <v>0.01</v>
      </c>
      <c r="G10" s="7">
        <f>'valori e pesi DEXI-INVERSION'!F12</f>
        <v>0</v>
      </c>
      <c r="H10" s="44">
        <f t="shared" si="0"/>
        <v>0</v>
      </c>
      <c r="I10" s="43">
        <f>2-I9</f>
        <v>0.85000000000000009</v>
      </c>
      <c r="M10" s="11"/>
    </row>
    <row r="11" spans="1:14">
      <c r="D11" s="6" t="str">
        <f>'valori e pesi DEXI-INVERSION'!D13</f>
        <v>1.2.3. Specie animali allevate</v>
      </c>
      <c r="E11" s="6">
        <f>'valori e pesi DEXI-INVERSION'!E13</f>
        <v>0.1</v>
      </c>
      <c r="F11" s="46">
        <f t="shared" si="1"/>
        <v>0.01</v>
      </c>
      <c r="G11" s="7">
        <f>'valori e pesi DEXI-INVERSION'!F13</f>
        <v>0</v>
      </c>
      <c r="H11" s="44">
        <f t="shared" si="0"/>
        <v>0</v>
      </c>
      <c r="I11" s="44"/>
    </row>
    <row r="12" spans="1:14">
      <c r="D12" s="6" t="str">
        <f>'valori e pesi DEXI-INVERSION'!D14</f>
        <v>1.2.4. Avvicendamento colturale</v>
      </c>
      <c r="E12" s="6">
        <f>'valori e pesi DEXI-INVERSION'!E14</f>
        <v>0.15</v>
      </c>
      <c r="F12" s="46">
        <f t="shared" si="1"/>
        <v>0.01</v>
      </c>
      <c r="G12" s="7">
        <f>'valori e pesi DEXI-INVERSION'!F14</f>
        <v>0</v>
      </c>
      <c r="H12" s="44">
        <f t="shared" si="0"/>
        <v>0</v>
      </c>
      <c r="I12" s="44"/>
    </row>
    <row r="13" spans="1:14">
      <c r="D13" s="6" t="str">
        <f>'valori e pesi DEXI-INVERSION'!D15</f>
        <v>1.2.5. Rusticita'</v>
      </c>
      <c r="E13" s="6">
        <f>'valori e pesi DEXI-INVERSION'!E15</f>
        <v>0.2</v>
      </c>
      <c r="F13" s="46">
        <f t="shared" si="1"/>
        <v>0.01</v>
      </c>
      <c r="G13" s="7">
        <f>'valori e pesi DEXI-INVERSION'!F15</f>
        <v>0</v>
      </c>
      <c r="H13" s="44">
        <f t="shared" si="0"/>
        <v>0</v>
      </c>
      <c r="I13" s="44"/>
    </row>
    <row r="14" spans="1:14">
      <c r="D14" s="6" t="str">
        <f>'valori e pesi DEXI-INVERSION'!D16</f>
        <v>1.2.6. Presenza di varieta'/razze, ecotipi vegetali e animali locali</v>
      </c>
      <c r="E14" s="6">
        <f>'valori e pesi DEXI-INVERSION'!E16</f>
        <v>0.15</v>
      </c>
      <c r="F14" s="46">
        <f t="shared" si="1"/>
        <v>0.16</v>
      </c>
      <c r="G14" s="7">
        <f>'valori e pesi DEXI-INVERSION'!F16</f>
        <v>1</v>
      </c>
      <c r="H14" s="44">
        <f t="shared" si="0"/>
        <v>0.15</v>
      </c>
      <c r="I14" s="44"/>
    </row>
    <row r="15" spans="1:14">
      <c r="C15" s="6" t="str">
        <f>'valori e pesi DEXI-INVERSION'!C18</f>
        <v>Pratiche zootecniche</v>
      </c>
      <c r="D15" s="3">
        <f>'valori e pesi DEXI-INVERSION'!C19</f>
        <v>0.35</v>
      </c>
      <c r="E15" s="6"/>
      <c r="G15" s="29"/>
      <c r="H15" s="44">
        <f t="shared" si="0"/>
        <v>0</v>
      </c>
      <c r="I15" s="44"/>
      <c r="J15" s="38">
        <f>IF(SUMIFS(E16:E24,G16:G24,"&gt;=-1",G16:G24,"&lt;=1")&gt;0,SUMPRODUCT(E16:E24,G16:G24)/SUMIFS(E16:E24,G16:G24,"&gt;=-1",G16:G24,"&lt;=1"),"")</f>
        <v>0.7</v>
      </c>
    </row>
    <row r="16" spans="1:14">
      <c r="C16" s="6"/>
      <c r="D16" s="6" t="str">
        <f>'valori e pesi DEXI-INVERSION'!D19</f>
        <v>1.3.1. Quantità di utilizzo del pascolo</v>
      </c>
      <c r="E16" s="6">
        <f>'valori e pesi DEXI-INVERSION'!E19</f>
        <v>0.15</v>
      </c>
      <c r="F16" s="46">
        <f t="shared" ref="F16:F24" si="2">0.01+G16*E16</f>
        <v>0.16</v>
      </c>
      <c r="G16" s="7">
        <f>'valori e pesi DEXI-INVERSION'!F19</f>
        <v>1</v>
      </c>
      <c r="H16" s="44">
        <f t="shared" si="0"/>
        <v>0.15</v>
      </c>
      <c r="I16" s="42">
        <f>J15+1</f>
        <v>1.7</v>
      </c>
    </row>
    <row r="17" spans="1:11" ht="13.5" thickBot="1">
      <c r="D17" s="6" t="str">
        <f>'valori e pesi DEXI-INVERSION'!D20</f>
        <v>1.3.2. Gestione pascolo</v>
      </c>
      <c r="E17" s="6">
        <f>'valori e pesi DEXI-INVERSION'!E20</f>
        <v>0.15</v>
      </c>
      <c r="F17" s="46">
        <f t="shared" si="2"/>
        <v>0.16</v>
      </c>
      <c r="G17" s="7">
        <f>'valori e pesi DEXI-INVERSION'!F20</f>
        <v>1</v>
      </c>
      <c r="H17" s="44">
        <f t="shared" si="0"/>
        <v>0.15</v>
      </c>
      <c r="I17" s="43">
        <f>2-I16</f>
        <v>0.30000000000000004</v>
      </c>
    </row>
    <row r="18" spans="1:11">
      <c r="D18" s="6" t="str">
        <f>'valori e pesi DEXI-INVERSION'!D21</f>
        <v>1.3.3. % di SAU destinata ai foraggi da colture pluriennali</v>
      </c>
      <c r="E18" s="6">
        <f>'valori e pesi DEXI-INVERSION'!E21</f>
        <v>0.05</v>
      </c>
      <c r="F18" s="46">
        <f t="shared" si="2"/>
        <v>6.0000000000000005E-2</v>
      </c>
      <c r="G18" s="7">
        <f>'valori e pesi DEXI-INVERSION'!F21</f>
        <v>1</v>
      </c>
      <c r="H18" s="44">
        <f t="shared" si="0"/>
        <v>0.05</v>
      </c>
      <c r="I18" s="44"/>
    </row>
    <row r="19" spans="1:11">
      <c r="D19" s="6" t="str">
        <f>'valori e pesi DEXI-INVERSION'!D22</f>
        <v>1.3.4. Energia della razione alimentare fornita dal pascolo</v>
      </c>
      <c r="E19" s="6">
        <f>'valori e pesi DEXI-INVERSION'!E22</f>
        <v>0.05</v>
      </c>
      <c r="F19" s="46">
        <f t="shared" si="2"/>
        <v>-0.04</v>
      </c>
      <c r="G19" s="7">
        <f>'valori e pesi DEXI-INVERSION'!F22</f>
        <v>-1</v>
      </c>
      <c r="H19" s="44">
        <f t="shared" si="0"/>
        <v>-0.05</v>
      </c>
      <c r="I19" s="44"/>
    </row>
    <row r="20" spans="1:11">
      <c r="D20" s="6" t="str">
        <f>'valori e pesi DEXI-INVERSION'!D23</f>
        <v>1.3.5. Proteine da foraggi</v>
      </c>
      <c r="E20" s="6">
        <f>'valori e pesi DEXI-INVERSION'!E23</f>
        <v>0.15</v>
      </c>
      <c r="F20" s="46">
        <f t="shared" si="2"/>
        <v>0.01</v>
      </c>
      <c r="G20" s="7">
        <f>'valori e pesi DEXI-INVERSION'!F23</f>
        <v>0</v>
      </c>
      <c r="H20" s="44">
        <f t="shared" si="0"/>
        <v>0</v>
      </c>
      <c r="I20" s="44"/>
    </row>
    <row r="21" spans="1:11">
      <c r="D21" s="6" t="str">
        <f>'valori e pesi DEXI-INVERSION'!D24</f>
        <v>1.3.6. Prevenzione sanitaria</v>
      </c>
      <c r="E21" s="6">
        <f>'valori e pesi DEXI-INVERSION'!E24</f>
        <v>0.15</v>
      </c>
      <c r="F21" s="46">
        <f t="shared" si="2"/>
        <v>0.16</v>
      </c>
      <c r="G21" s="7">
        <f>'valori e pesi DEXI-INVERSION'!F24</f>
        <v>1</v>
      </c>
      <c r="H21" s="44">
        <f t="shared" si="0"/>
        <v>0.15</v>
      </c>
      <c r="I21" s="44"/>
    </row>
    <row r="22" spans="1:11">
      <c r="D22" s="6" t="str">
        <f>'valori e pesi DEXI-INVERSION'!D25</f>
        <v>1.3.7. Medicine alternative o tradizionali</v>
      </c>
      <c r="E22" s="6">
        <f>'valori e pesi DEXI-INVERSION'!E25</f>
        <v>0.05</v>
      </c>
      <c r="F22" s="46">
        <f t="shared" si="2"/>
        <v>6.0000000000000005E-2</v>
      </c>
      <c r="G22" s="7">
        <f>'valori e pesi DEXI-INVERSION'!F25</f>
        <v>1</v>
      </c>
      <c r="H22" s="44">
        <f t="shared" si="0"/>
        <v>0.05</v>
      </c>
      <c r="I22" s="44"/>
    </row>
    <row r="23" spans="1:11">
      <c r="D23" s="6" t="str">
        <f>'valori e pesi DEXI-INVERSION'!D26</f>
        <v>1.3.8. Numero trattamenti antibiotici</v>
      </c>
      <c r="E23" s="6">
        <f>'valori e pesi DEXI-INVERSION'!E26</f>
        <v>0.2</v>
      </c>
      <c r="F23" s="46">
        <f t="shared" si="2"/>
        <v>0.21000000000000002</v>
      </c>
      <c r="G23" s="7">
        <f>'valori e pesi DEXI-INVERSION'!F26</f>
        <v>1</v>
      </c>
      <c r="H23" s="44">
        <f t="shared" si="0"/>
        <v>0.2</v>
      </c>
      <c r="I23" s="44"/>
    </row>
    <row r="24" spans="1:11">
      <c r="D24" s="6" t="str">
        <f>'valori e pesi DEXI-INVERSION'!D27</f>
        <v>1.3.9. Numero trattamenti antiparassitari</v>
      </c>
      <c r="E24" s="6">
        <f>'valori e pesi DEXI-INVERSION'!E27</f>
        <v>0.05</v>
      </c>
      <c r="F24" s="46">
        <f t="shared" si="2"/>
        <v>0.01</v>
      </c>
      <c r="G24" s="7">
        <f>'valori e pesi DEXI-INVERSION'!F27</f>
        <v>0</v>
      </c>
      <c r="H24" s="44">
        <f t="shared" si="0"/>
        <v>0</v>
      </c>
      <c r="I24" s="44"/>
    </row>
    <row r="25" spans="1:11">
      <c r="C25" s="6" t="str">
        <f>'valori e pesi DEXI-INVERSION'!C29</f>
        <v>Gestione risorse zootecniche</v>
      </c>
      <c r="D25" s="3">
        <f>'valori e pesi DEXI-INVERSION'!C30</f>
        <v>0.25</v>
      </c>
      <c r="E25" s="6"/>
      <c r="G25" s="29"/>
      <c r="H25" s="44">
        <f t="shared" si="0"/>
        <v>0</v>
      </c>
      <c r="I25" s="44"/>
      <c r="J25" s="315">
        <f>IF(SUMIFS(E26:E31,G26:G31,"&gt;=-1",G26:G31,"&lt;=1")&gt;0,SUMPRODUCT(E26:E31,G26:G31)/SUMIFS(E26:E31,G26:G31,"&gt;=-1",G26:G31,"&lt;=1"),"")</f>
        <v>1</v>
      </c>
    </row>
    <row r="26" spans="1:11">
      <c r="C26" s="6"/>
      <c r="D26" s="6" t="str">
        <f>'valori e pesi DEXI-INVERSION'!D30</f>
        <v>1.4.1. Fertilita'</v>
      </c>
      <c r="E26" s="6">
        <f>'valori e pesi DEXI-INVERSION'!E30</f>
        <v>0.2</v>
      </c>
      <c r="F26" s="46">
        <f t="shared" ref="F26:F31" si="3">0.01+G26*E26</f>
        <v>0.21000000000000002</v>
      </c>
      <c r="G26" s="7">
        <f>'valori e pesi DEXI-INVERSION'!F30</f>
        <v>1</v>
      </c>
      <c r="H26" s="44">
        <f t="shared" si="0"/>
        <v>0.2</v>
      </c>
      <c r="I26" s="42">
        <f>J25+1</f>
        <v>2</v>
      </c>
    </row>
    <row r="27" spans="1:11" ht="13.5" thickBot="1">
      <c r="D27" s="6" t="str">
        <f>'valori e pesi DEXI-INVERSION'!D31</f>
        <v>1.4.2. Incremento ponderale giornaliero</v>
      </c>
      <c r="E27" s="6">
        <f>'valori e pesi DEXI-INVERSION'!E31</f>
        <v>0.1</v>
      </c>
      <c r="F27" s="46">
        <f t="shared" si="3"/>
        <v>0.11</v>
      </c>
      <c r="G27" s="7">
        <f>'valori e pesi DEXI-INVERSION'!F31</f>
        <v>1</v>
      </c>
      <c r="H27" s="44">
        <f t="shared" si="0"/>
        <v>0.1</v>
      </c>
      <c r="I27" s="313">
        <f>2-I26</f>
        <v>0</v>
      </c>
    </row>
    <row r="28" spans="1:11">
      <c r="D28" s="6" t="str">
        <f>'valori e pesi DEXI-INVERSION'!D32</f>
        <v>1.4.3. Efficienza razione foraggera</v>
      </c>
      <c r="E28" s="6">
        <f>'valori e pesi DEXI-INVERSION'!E32</f>
        <v>0.2</v>
      </c>
      <c r="F28" s="46">
        <f t="shared" si="3"/>
        <v>0.21000000000000002</v>
      </c>
      <c r="G28" s="7">
        <f>'valori e pesi DEXI-INVERSION'!F32</f>
        <v>1</v>
      </c>
      <c r="H28" s="44">
        <f t="shared" si="0"/>
        <v>0.2</v>
      </c>
      <c r="I28" s="44"/>
    </row>
    <row r="29" spans="1:11">
      <c r="D29" s="6" t="str">
        <f>'valori e pesi DEXI-INVERSION'!D33</f>
        <v>1.4.4. Tasso di riforma involontaria</v>
      </c>
      <c r="E29" s="6">
        <f>'valori e pesi DEXI-INVERSION'!E33</f>
        <v>0.1</v>
      </c>
      <c r="F29" s="46">
        <f t="shared" si="3"/>
        <v>0.11</v>
      </c>
      <c r="G29" s="7">
        <f>'valori e pesi DEXI-INVERSION'!F33</f>
        <v>1</v>
      </c>
      <c r="H29" s="44">
        <f t="shared" si="0"/>
        <v>0.1</v>
      </c>
      <c r="I29" s="44"/>
    </row>
    <row r="30" spans="1:11">
      <c r="D30" s="6" t="str">
        <f>'valori e pesi DEXI-INVERSION'!D34</f>
        <v>1.4.5. Qualita' del latte</v>
      </c>
      <c r="E30" s="6">
        <f>'valori e pesi DEXI-INVERSION'!E34</f>
        <v>0.2</v>
      </c>
      <c r="F30" s="46">
        <f t="shared" si="3"/>
        <v>0.21000000000000002</v>
      </c>
      <c r="G30" s="7">
        <f>'valori e pesi DEXI-INVERSION'!F34</f>
        <v>1</v>
      </c>
      <c r="H30" s="44">
        <f t="shared" si="0"/>
        <v>0.2</v>
      </c>
      <c r="I30" s="44"/>
    </row>
    <row r="31" spans="1:11">
      <c r="D31" s="6" t="str">
        <f>'valori e pesi DEXI-INVERSION'!D35</f>
        <v>1.4.6. Rapporto omega6/omega3</v>
      </c>
      <c r="E31" s="6">
        <f>'valori e pesi DEXI-INVERSION'!E35</f>
        <v>0.2</v>
      </c>
      <c r="F31" s="46">
        <f t="shared" si="3"/>
        <v>0.21000000000000002</v>
      </c>
      <c r="G31" s="7">
        <f>'valori e pesi DEXI-INVERSION'!F35</f>
        <v>1</v>
      </c>
      <c r="H31" s="44">
        <f>E31*G31</f>
        <v>0.2</v>
      </c>
      <c r="I31" s="44"/>
    </row>
    <row r="32" spans="1:11" ht="19.5">
      <c r="A32" s="1" t="s">
        <v>17</v>
      </c>
      <c r="B32" s="2">
        <v>0.25</v>
      </c>
      <c r="E32" s="6"/>
      <c r="H32" s="44"/>
      <c r="I32" s="44"/>
      <c r="K32" s="4">
        <f>SUMPRODUCT(D33:D45,J33:J45)/SUMIFS(D33:D45,J33:J45,"&gt;=-1",J33:J45,"&lt;=1")</f>
        <v>0.38649999999999995</v>
      </c>
    </row>
    <row r="33" spans="1:11" ht="19.5">
      <c r="A33" s="1"/>
      <c r="B33" s="1"/>
      <c r="C33" s="6" t="str">
        <f>'valori e pesi DEXI-INVERSION'!C39</f>
        <v>Ambienti di allevamento</v>
      </c>
      <c r="D33" s="3">
        <f>'valori e pesi DEXI-INVERSION'!C40</f>
        <v>0.17</v>
      </c>
      <c r="H33" s="44"/>
      <c r="I33" s="44"/>
      <c r="J33" s="38">
        <f>IF(SUMIFS(E34:E36,G34:G36,"&gt;=-1",G34:G36,"&lt;=1")&gt;0,SUMPRODUCT(E34:E36,G34:G36)/SUMIFS(E34:E36,G34:G36,"&gt;=-1",G34:G36,"&lt;=1"),"")</f>
        <v>-0.55000000000000004</v>
      </c>
      <c r="K33" s="42">
        <f>K32+1</f>
        <v>1.3864999999999998</v>
      </c>
    </row>
    <row r="34" spans="1:11" ht="13.5" thickBot="1">
      <c r="C34" s="6"/>
      <c r="D34" s="6" t="str">
        <f>'valori e pesi DEXI-INVERSION'!D40</f>
        <v>2.1.1. Benessere nei sistemi bradi e semibradi</v>
      </c>
      <c r="E34" s="6">
        <f>'valori e pesi DEXI-INVERSION'!E40</f>
        <v>0.45</v>
      </c>
      <c r="F34" s="46">
        <f>0.01+G34*E34</f>
        <v>0.01</v>
      </c>
      <c r="G34" s="13">
        <f>'valori e pesi DEXI-INVERSION'!F40</f>
        <v>0</v>
      </c>
      <c r="H34" s="44">
        <f>E34*G34</f>
        <v>0</v>
      </c>
      <c r="I34" s="42">
        <f>J33+1</f>
        <v>0.44999999999999996</v>
      </c>
      <c r="K34" s="43">
        <f>2-K33</f>
        <v>0.61350000000000016</v>
      </c>
    </row>
    <row r="35" spans="1:11" ht="13.5" thickBot="1">
      <c r="C35" s="14"/>
      <c r="D35" s="6" t="str">
        <f>'valori e pesi DEXI-INVERSION'!D41</f>
        <v>2.1.2. Adeguatezza strutture e impianti</v>
      </c>
      <c r="E35" s="6">
        <f>'valori e pesi DEXI-INVERSION'!E41</f>
        <v>0.45</v>
      </c>
      <c r="F35" s="46">
        <f>0.01+G35*E35</f>
        <v>-0.44</v>
      </c>
      <c r="G35" s="13">
        <f>'valori e pesi DEXI-INVERSION'!F41</f>
        <v>-1</v>
      </c>
      <c r="H35" s="44">
        <f>E35*G35</f>
        <v>-0.45</v>
      </c>
      <c r="I35" s="43">
        <f>2-I34</f>
        <v>1.55</v>
      </c>
    </row>
    <row r="36" spans="1:11">
      <c r="C36" s="14"/>
      <c r="D36" s="6" t="str">
        <f>'valori e pesi DEXI-INVERSION'!D42</f>
        <v>2.1.3. Paddock</v>
      </c>
      <c r="E36" s="6">
        <f>'valori e pesi DEXI-INVERSION'!E42</f>
        <v>0.1</v>
      </c>
      <c r="F36" s="46">
        <f>0.01+G36*E36</f>
        <v>-9.0000000000000011E-2</v>
      </c>
      <c r="G36" s="13">
        <f>'valori e pesi DEXI-INVERSION'!F42</f>
        <v>-1</v>
      </c>
      <c r="H36" s="44">
        <f t="shared" si="0"/>
        <v>-0.1</v>
      </c>
      <c r="I36" s="44"/>
    </row>
    <row r="37" spans="1:11" ht="25.35" customHeight="1">
      <c r="C37" s="6" t="str">
        <f>'valori e pesi DEXI-INVERSION'!C49</f>
        <v>Gestione zootecnica</v>
      </c>
      <c r="D37" s="3">
        <v>0.5</v>
      </c>
      <c r="E37" s="6"/>
      <c r="F37" s="5"/>
      <c r="G37" s="15"/>
      <c r="H37" s="44"/>
      <c r="I37" s="44"/>
      <c r="J37" s="38">
        <f>IF(SUMIFS(E38:E44,G38:G44,"&gt;=-1",G38:G44,"&lt;=1")&gt;0,SUMPRODUCT(E38:E44,G38:G44)/SUMIFS(E38:E44,G38:G44,"&gt;=-1",G38:G44,"&lt;=1"),"")</f>
        <v>0.29999999999999993</v>
      </c>
    </row>
    <row r="38" spans="1:11">
      <c r="C38" s="6"/>
      <c r="D38" s="6" t="str">
        <f>'valori e pesi DEXI-INVERSION'!D50</f>
        <v>2.2.1. Razione alimentare</v>
      </c>
      <c r="E38" s="6">
        <f>'valori e pesi DEXI-INVERSION'!E50</f>
        <v>0.2</v>
      </c>
      <c r="F38" s="46">
        <f t="shared" ref="F38:F44" si="4">0.01+G38*E38</f>
        <v>-0.19</v>
      </c>
      <c r="G38" s="13">
        <f>'valori e pesi DEXI-INVERSION'!F50</f>
        <v>-1</v>
      </c>
      <c r="H38" s="44">
        <f>E38*G38</f>
        <v>-0.2</v>
      </c>
      <c r="I38" s="42">
        <f>J37+1</f>
        <v>1.2999999999999998</v>
      </c>
    </row>
    <row r="39" spans="1:11" ht="13.5" thickBot="1">
      <c r="C39" s="14"/>
      <c r="D39" s="6" t="str">
        <f>'valori e pesi DEXI-INVERSION'!D51</f>
        <v>2.2.2. Gestione dell’alimentazione</v>
      </c>
      <c r="E39" s="6">
        <f>'valori e pesi DEXI-INVERSION'!E51</f>
        <v>0.05</v>
      </c>
      <c r="F39" s="46">
        <f t="shared" si="4"/>
        <v>6.0000000000000005E-2</v>
      </c>
      <c r="G39" s="13">
        <f>'valori e pesi DEXI-INVERSION'!F51</f>
        <v>1</v>
      </c>
      <c r="H39" s="44">
        <f t="shared" ref="H39:H48" si="5">E39*G39</f>
        <v>0.05</v>
      </c>
      <c r="I39" s="43">
        <f>2-I38</f>
        <v>0.70000000000000018</v>
      </c>
    </row>
    <row r="40" spans="1:11">
      <c r="C40" s="14"/>
      <c r="D40" s="6" t="str">
        <f>'valori e pesi DEXI-INVERSION'!D52</f>
        <v>2.2.3. Sviluppo corporeo della giovane femmina alla prima fecondazione</v>
      </c>
      <c r="E40" s="6">
        <f>'valori e pesi DEXI-INVERSION'!E52</f>
        <v>0.05</v>
      </c>
      <c r="F40" s="46">
        <f t="shared" si="4"/>
        <v>0.01</v>
      </c>
      <c r="G40" s="13">
        <f>'valori e pesi DEXI-INVERSION'!F52</f>
        <v>0</v>
      </c>
      <c r="H40" s="44">
        <f t="shared" si="5"/>
        <v>0</v>
      </c>
      <c r="I40" s="44"/>
    </row>
    <row r="41" spans="1:11">
      <c r="C41" s="14"/>
      <c r="D41" s="6" t="str">
        <f>'valori e pesi DEXI-INVERSION'!D53</f>
        <v>2.2.4. Gestione dei giovani animali</v>
      </c>
      <c r="E41" s="6">
        <f>'valori e pesi DEXI-INVERSION'!E53</f>
        <v>0.15</v>
      </c>
      <c r="F41" s="46">
        <f t="shared" si="4"/>
        <v>0.16</v>
      </c>
      <c r="G41" s="13">
        <f>'valori e pesi DEXI-INVERSION'!F53</f>
        <v>1</v>
      </c>
      <c r="H41" s="44">
        <f t="shared" si="5"/>
        <v>0.15</v>
      </c>
      <c r="I41" s="44"/>
    </row>
    <row r="42" spans="1:11">
      <c r="C42" s="14"/>
      <c r="D42" s="6" t="str">
        <f>'valori e pesi DEXI-INVERSION'!D54</f>
        <v>2.2.5. Attenzione agli animali anziani</v>
      </c>
      <c r="E42" s="6">
        <f>'valori e pesi DEXI-INVERSION'!E54</f>
        <v>0.15</v>
      </c>
      <c r="F42" s="46">
        <f t="shared" si="4"/>
        <v>0.16</v>
      </c>
      <c r="G42" s="13">
        <f>'valori e pesi DEXI-INVERSION'!F54</f>
        <v>1</v>
      </c>
      <c r="H42" s="44">
        <f t="shared" si="5"/>
        <v>0.15</v>
      </c>
      <c r="I42" s="44"/>
    </row>
    <row r="43" spans="1:11">
      <c r="C43" s="14"/>
      <c r="D43" s="6" t="str">
        <f>'valori e pesi DEXI-INVERSION'!D55</f>
        <v>2.2.6. Gestione parto e post-partum</v>
      </c>
      <c r="E43" s="6">
        <f>'valori e pesi DEXI-INVERSION'!E55</f>
        <v>0.15</v>
      </c>
      <c r="F43" s="46">
        <f t="shared" si="4"/>
        <v>0.16</v>
      </c>
      <c r="G43" s="13">
        <f>'valori e pesi DEXI-INVERSION'!F55</f>
        <v>1</v>
      </c>
      <c r="H43" s="44">
        <f t="shared" si="5"/>
        <v>0.15</v>
      </c>
      <c r="I43" s="44"/>
    </row>
    <row r="44" spans="1:11">
      <c r="C44" s="14"/>
      <c r="D44" s="6" t="str">
        <f>'valori e pesi DEXI-INVERSION'!D56</f>
        <v>2.2.7. Gestione della relazione madre-figlio</v>
      </c>
      <c r="E44" s="6">
        <f>'valori e pesi DEXI-INVERSION'!E56</f>
        <v>0.25</v>
      </c>
      <c r="F44" s="46">
        <f t="shared" si="4"/>
        <v>0.01</v>
      </c>
      <c r="G44" s="13">
        <f>'valori e pesi DEXI-INVERSION'!F56</f>
        <v>0</v>
      </c>
      <c r="H44" s="44">
        <f t="shared" si="5"/>
        <v>0</v>
      </c>
      <c r="I44" s="44"/>
    </row>
    <row r="45" spans="1:11" ht="18.600000000000001" customHeight="1">
      <c r="C45" s="6" t="str">
        <f>'valori e pesi DEXI-INVERSION'!C44</f>
        <v>Etologia collabrativa</v>
      </c>
      <c r="D45" s="3">
        <v>0.33</v>
      </c>
      <c r="E45" s="6"/>
      <c r="F45" s="5"/>
      <c r="G45" s="15"/>
      <c r="H45" s="44"/>
      <c r="I45" s="44"/>
      <c r="J45" s="38">
        <f>IF(SUMIFS(E46:E48,G46:G48,"&gt;=-1",G46:G48,"&lt;=1")&gt;0,SUMPRODUCT(E46:E48,G46:G48)/SUMIFS(E46:E48,G46:G48,"&gt;=-1",G46:G48,"&lt;=1"),"")</f>
        <v>1</v>
      </c>
    </row>
    <row r="46" spans="1:11">
      <c r="C46" s="6"/>
      <c r="D46" s="6" t="str">
        <f>'valori e pesi DEXI-INVERSION'!D45</f>
        <v>2.3.1. Attenzione e tempo dedicati all’osservazione degli animali</v>
      </c>
      <c r="E46" s="6">
        <f>'valori e pesi DEXI-INVERSION'!E45</f>
        <v>0.25</v>
      </c>
      <c r="F46" s="46">
        <f>0.01+G46*E46</f>
        <v>0.26</v>
      </c>
      <c r="G46" s="13">
        <f>'valori e pesi DEXI-INVERSION'!F45</f>
        <v>1</v>
      </c>
      <c r="H46" s="44">
        <f t="shared" si="5"/>
        <v>0.25</v>
      </c>
      <c r="I46" s="42">
        <f>J45+1</f>
        <v>2</v>
      </c>
    </row>
    <row r="47" spans="1:11" ht="13.5" thickBot="1">
      <c r="C47" s="14"/>
      <c r="D47" s="6" t="str">
        <f>'valori e pesi DEXI-INVERSION'!D46</f>
        <v>2.3.2. Interazione persona-animale</v>
      </c>
      <c r="E47" s="6">
        <f>'valori e pesi DEXI-INVERSION'!E46</f>
        <v>0.5</v>
      </c>
      <c r="F47" s="46">
        <f>0.01+G47*E47</f>
        <v>0.51</v>
      </c>
      <c r="G47" s="13">
        <f>'valori e pesi DEXI-INVERSION'!F46</f>
        <v>1</v>
      </c>
      <c r="H47" s="44">
        <f t="shared" si="5"/>
        <v>0.5</v>
      </c>
      <c r="I47" s="43">
        <f>2-I46</f>
        <v>0</v>
      </c>
    </row>
    <row r="48" spans="1:11" ht="13.5" thickBot="1">
      <c r="C48" s="14"/>
      <c r="D48" s="6" t="str">
        <f>'valori e pesi DEXI-INVERSION'!D47</f>
        <v>2.3.3. Contenimento e manualita'</v>
      </c>
      <c r="E48" s="6">
        <f>'valori e pesi DEXI-INVERSION'!E47</f>
        <v>0.25</v>
      </c>
      <c r="F48" s="46">
        <f>0.01+G48*E48</f>
        <v>0.26</v>
      </c>
      <c r="G48" s="13">
        <f>'valori e pesi DEXI-INVERSION'!F47</f>
        <v>1</v>
      </c>
      <c r="H48" s="44">
        <f t="shared" si="5"/>
        <v>0.25</v>
      </c>
      <c r="I48" s="43"/>
    </row>
    <row r="49" spans="1:11">
      <c r="E49" s="6"/>
      <c r="H49" s="44"/>
      <c r="I49" s="44"/>
    </row>
    <row r="50" spans="1:11">
      <c r="C50" s="14"/>
      <c r="D50" s="5"/>
      <c r="E50" s="48"/>
      <c r="F50" s="46"/>
      <c r="G50" s="13"/>
      <c r="H50" s="44"/>
      <c r="I50" s="44"/>
    </row>
    <row r="51" spans="1:11">
      <c r="H51" s="44"/>
      <c r="I51" s="44"/>
    </row>
    <row r="52" spans="1:11">
      <c r="H52" s="44"/>
      <c r="I52" s="44"/>
    </row>
    <row r="53" spans="1:11" ht="19.5">
      <c r="A53" s="1" t="s">
        <v>19</v>
      </c>
      <c r="B53" s="2">
        <v>0.25</v>
      </c>
      <c r="C53" s="6" t="str">
        <f>'valori e pesi DEXI-INVERSION'!C59</f>
        <v>Socio-Territoriale</v>
      </c>
      <c r="D53" s="3">
        <v>0.5</v>
      </c>
      <c r="H53" s="44"/>
      <c r="I53" s="44"/>
      <c r="K53" s="4">
        <f>SUMPRODUCT(D53:D59,J54:J60)/SUMIFS(D53:D59,J54:J60,"&gt;=-1",J54:J60,"&lt;=1")</f>
        <v>0.25</v>
      </c>
    </row>
    <row r="54" spans="1:11">
      <c r="C54" s="6"/>
      <c r="D54" s="6" t="str">
        <f>'valori e pesi DEXI-INVERSION'!D60</f>
        <v>3.1.1. Relazioni sul territorio</v>
      </c>
      <c r="E54" s="6">
        <f>'valori e pesi DEXI-INVERSION'!E60</f>
        <v>0.2</v>
      </c>
      <c r="F54" s="46">
        <f>0.01+G54*E54</f>
        <v>0.21000000000000002</v>
      </c>
      <c r="G54" s="10">
        <f>'valori e pesi DEXI-INVERSION'!F60</f>
        <v>1</v>
      </c>
      <c r="H54" s="44">
        <f>E54*G54</f>
        <v>0.2</v>
      </c>
      <c r="I54" s="42">
        <f>J54+1</f>
        <v>1.5</v>
      </c>
      <c r="J54" s="38">
        <f>IF(SUMIFS(E54:E58,G54:G58,"&gt;=-1",G54:G58,"&lt;=1")&gt;0,SUMPRODUCT(E54:E58,G54:G58)/SUMIFS(E54:E58,G54:G58,"&gt;=-1",G54:G58,"&lt;=1"),"")</f>
        <v>0.5</v>
      </c>
      <c r="K54" s="42">
        <f>K53+1</f>
        <v>1.25</v>
      </c>
    </row>
    <row r="55" spans="1:11" ht="13.5" thickBot="1">
      <c r="D55" s="6" t="str">
        <f>'valori e pesi DEXI-INVERSION'!D61</f>
        <v>3.1.2. Qualità della vita e del lavoro</v>
      </c>
      <c r="E55" s="6">
        <f>'valori e pesi DEXI-INVERSION'!E61</f>
        <v>0.30000000000000004</v>
      </c>
      <c r="F55" s="46">
        <f>0.01+G55*E55</f>
        <v>0.31000000000000005</v>
      </c>
      <c r="G55" s="10">
        <f>'valori e pesi DEXI-INVERSION'!F61</f>
        <v>1</v>
      </c>
      <c r="H55" s="44">
        <f>E55*G55</f>
        <v>0.30000000000000004</v>
      </c>
      <c r="I55" s="43">
        <f>2-I54</f>
        <v>0.5</v>
      </c>
      <c r="K55" s="43">
        <f>2-K54</f>
        <v>0.75</v>
      </c>
    </row>
    <row r="56" spans="1:11">
      <c r="D56" s="6" t="str">
        <f>'valori e pesi DEXI-INVERSION'!D62</f>
        <v>3.1.3. Conflitto intergenerazionale</v>
      </c>
      <c r="E56" s="6">
        <f>'valori e pesi DEXI-INVERSION'!E62</f>
        <v>0.1</v>
      </c>
      <c r="F56" s="46">
        <f>0.01+G56*E56</f>
        <v>0.01</v>
      </c>
      <c r="G56" s="10">
        <f>'valori e pesi DEXI-INVERSION'!F62</f>
        <v>0</v>
      </c>
      <c r="H56" s="44">
        <f>E56*G56</f>
        <v>0</v>
      </c>
      <c r="I56" s="44"/>
    </row>
    <row r="57" spans="1:11">
      <c r="D57" s="6" t="str">
        <f>'valori e pesi DEXI-INVERSION'!D63</f>
        <v>3.1.4. Formazione operatori aziendali</v>
      </c>
      <c r="E57" s="6">
        <f>'valori e pesi DEXI-INVERSION'!E63</f>
        <v>0.2</v>
      </c>
      <c r="F57" s="46">
        <f>0.01+G57*E57</f>
        <v>0.01</v>
      </c>
      <c r="G57" s="10">
        <f>'valori e pesi DEXI-INVERSION'!F63</f>
        <v>0</v>
      </c>
      <c r="H57" s="44">
        <f>E57*G57</f>
        <v>0</v>
      </c>
      <c r="I57" s="44"/>
    </row>
    <row r="58" spans="1:11">
      <c r="D58" s="6" t="str">
        <f>'valori e pesi DEXI-INVERSION'!D64</f>
        <v>3.1.5. Comunicazione e coordinamento</v>
      </c>
      <c r="E58" s="6">
        <f>'valori e pesi DEXI-INVERSION'!E64</f>
        <v>0.2</v>
      </c>
      <c r="F58" s="46">
        <f>0.01+G58*E58</f>
        <v>0.01</v>
      </c>
      <c r="G58" s="10">
        <f>'valori e pesi DEXI-INVERSION'!F64</f>
        <v>0</v>
      </c>
      <c r="H58" s="44">
        <f>E58*G58</f>
        <v>0</v>
      </c>
      <c r="I58" s="44"/>
    </row>
    <row r="59" spans="1:11">
      <c r="C59" s="6" t="str">
        <f>'valori e pesi DEXI-INVERSION'!C67</f>
        <v>Economica</v>
      </c>
      <c r="D59" s="3">
        <v>0.5</v>
      </c>
      <c r="E59" s="6"/>
      <c r="G59" s="16"/>
      <c r="H59" s="44"/>
      <c r="I59" s="44"/>
    </row>
    <row r="60" spans="1:11">
      <c r="C60" s="6"/>
      <c r="D60" s="6" t="str">
        <f>'valori e pesi DEXI-INVERSION'!D68</f>
        <v>3.2.1. Produttivita'</v>
      </c>
      <c r="E60" s="6">
        <f>'valori e pesi DEXI-INVERSION'!E68</f>
        <v>0.30000000000000004</v>
      </c>
      <c r="F60" s="46">
        <f>0.01+G60*E60</f>
        <v>-0.29000000000000004</v>
      </c>
      <c r="G60" s="12">
        <f>'valori e pesi DEXI-INVERSION'!F68</f>
        <v>-1</v>
      </c>
      <c r="H60" s="44">
        <f t="shared" ref="H60:H62" si="6">E60*G60</f>
        <v>-0.30000000000000004</v>
      </c>
      <c r="I60" s="42">
        <f>J60+1</f>
        <v>1</v>
      </c>
      <c r="J60" s="38">
        <f>IF(SUMIFS(E60:E62,G60:G62,"&gt;=-1",G60:G62,"&lt;=1")&gt;0,SUMPRODUCT(E60:E62,G60:G62)/SUMIFS(E60:E62,G60:G62,"&gt;=-1",G60:G62,"&lt;=1"),"")</f>
        <v>0</v>
      </c>
    </row>
    <row r="61" spans="1:11" ht="13.5" thickBot="1">
      <c r="D61" s="6" t="str">
        <f>'valori e pesi DEXI-INVERSION'!D69</f>
        <v>3.2.2. Efficienza gestionale</v>
      </c>
      <c r="E61" s="6">
        <f>'valori e pesi DEXI-INVERSION'!E69</f>
        <v>0.4</v>
      </c>
      <c r="F61" s="46">
        <f>0.01+G61*E61</f>
        <v>0.01</v>
      </c>
      <c r="G61" s="12">
        <f>'valori e pesi DEXI-INVERSION'!F69</f>
        <v>0</v>
      </c>
      <c r="H61" s="44">
        <f t="shared" si="6"/>
        <v>0</v>
      </c>
      <c r="I61" s="43">
        <f>2-I60</f>
        <v>1</v>
      </c>
    </row>
    <row r="62" spans="1:11">
      <c r="D62" s="6" t="str">
        <f>'valori e pesi DEXI-INVERSION'!D70</f>
        <v>3.2.3. Vulnerabilita</v>
      </c>
      <c r="E62" s="6">
        <f>'valori e pesi DEXI-INVERSION'!E70</f>
        <v>0.30000000000000004</v>
      </c>
      <c r="F62" s="46">
        <f>0.01+G62*E62</f>
        <v>0.31000000000000005</v>
      </c>
      <c r="G62" s="12">
        <f>'valori e pesi DEXI-INVERSION'!F70</f>
        <v>1</v>
      </c>
      <c r="H62" s="44">
        <f t="shared" si="6"/>
        <v>0.30000000000000004</v>
      </c>
      <c r="I62" s="44"/>
    </row>
    <row r="63" spans="1:11">
      <c r="E63" s="6"/>
    </row>
    <row r="64" spans="1:11">
      <c r="D64" s="6">
        <v>1</v>
      </c>
      <c r="F64" s="6">
        <v>1</v>
      </c>
    </row>
  </sheetData>
  <sheetProtection selectLockedCells="1" selectUnlockedCells="1"/>
  <pageMargins left="0.78749999999999998" right="0.78749999999999998" top="1.0249999999999999" bottom="1.0249999999999999" header="0.78749999999999998" footer="0.78749999999999998"/>
  <pageSetup paperSize="9" orientation="portrait" horizontalDpi="300" verticalDpi="300" r:id="rId1"/>
  <headerFooter alignWithMargins="0">
    <oddHeader>&amp;C&amp;A</oddHeader>
    <oddFooter>&amp;CPagina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8"/>
  <sheetViews>
    <sheetView topLeftCell="A17" workbookViewId="0"/>
  </sheetViews>
  <sheetFormatPr defaultRowHeight="12.75"/>
  <cols>
    <col min="1" max="1" width="82.5703125" bestFit="1" customWidth="1"/>
  </cols>
  <sheetData>
    <row r="1" spans="1:2">
      <c r="B1" t="str">
        <f>'valori e pesi DEXI-INVERSION'!F2</f>
        <v>Azienda1</v>
      </c>
    </row>
    <row r="2" spans="1:2">
      <c r="A2" t="s">
        <v>249</v>
      </c>
      <c r="B2" s="78">
        <f>'valori e pesi DEXI-INVERSION'!F4</f>
        <v>1</v>
      </c>
    </row>
    <row r="3" spans="1:2">
      <c r="A3" t="s">
        <v>250</v>
      </c>
      <c r="B3" s="78">
        <f>'valori e pesi DEXI-INVERSION'!F5</f>
        <v>1</v>
      </c>
    </row>
    <row r="4" spans="1:2">
      <c r="A4" t="s">
        <v>251</v>
      </c>
      <c r="B4" s="78">
        <f>'valori e pesi DEXI-INVERSION'!F6</f>
        <v>1</v>
      </c>
    </row>
    <row r="5" spans="1:2">
      <c r="A5" t="s">
        <v>252</v>
      </c>
      <c r="B5" s="78">
        <f>'valori e pesi DEXI-INVERSION'!F7</f>
        <v>0</v>
      </c>
    </row>
    <row r="6" spans="1:2">
      <c r="A6" t="s">
        <v>253</v>
      </c>
      <c r="B6" s="78">
        <f>'valori e pesi DEXI-INVERSION'!F8</f>
        <v>1</v>
      </c>
    </row>
    <row r="7" spans="1:2">
      <c r="A7" t="s">
        <v>254</v>
      </c>
      <c r="B7" s="78">
        <f>'valori e pesi DEXI-INVERSION'!F11</f>
        <v>0</v>
      </c>
    </row>
    <row r="8" spans="1:2">
      <c r="A8" t="s">
        <v>255</v>
      </c>
      <c r="B8" s="78">
        <f>'valori e pesi DEXI-INVERSION'!F12</f>
        <v>0</v>
      </c>
    </row>
    <row r="9" spans="1:2">
      <c r="A9" t="s">
        <v>256</v>
      </c>
      <c r="B9" s="78">
        <f>'valori e pesi DEXI-INVERSION'!F13</f>
        <v>0</v>
      </c>
    </row>
    <row r="10" spans="1:2">
      <c r="A10" t="s">
        <v>257</v>
      </c>
      <c r="B10" s="78">
        <f>'valori e pesi DEXI-INVERSION'!F14</f>
        <v>0</v>
      </c>
    </row>
    <row r="11" spans="1:2">
      <c r="A11" t="s">
        <v>258</v>
      </c>
      <c r="B11" s="78">
        <f>'valori e pesi DEXI-INVERSION'!F15</f>
        <v>0</v>
      </c>
    </row>
    <row r="12" spans="1:2">
      <c r="A12" t="s">
        <v>259</v>
      </c>
      <c r="B12" s="78">
        <f>'valori e pesi DEXI-INVERSION'!F16</f>
        <v>1</v>
      </c>
    </row>
    <row r="13" spans="1:2">
      <c r="A13" t="s">
        <v>260</v>
      </c>
      <c r="B13" s="78">
        <f>'valori e pesi DEXI-INVERSION'!F19</f>
        <v>1</v>
      </c>
    </row>
    <row r="14" spans="1:2">
      <c r="A14" t="s">
        <v>261</v>
      </c>
      <c r="B14" s="78">
        <f>'valori e pesi DEXI-INVERSION'!F20</f>
        <v>1</v>
      </c>
    </row>
    <row r="15" spans="1:2">
      <c r="A15" t="s">
        <v>262</v>
      </c>
      <c r="B15" s="78">
        <f>'valori e pesi DEXI-INVERSION'!F21</f>
        <v>1</v>
      </c>
    </row>
    <row r="16" spans="1:2">
      <c r="A16" t="s">
        <v>263</v>
      </c>
      <c r="B16" s="78">
        <f>'valori e pesi DEXI-INVERSION'!F22</f>
        <v>-1</v>
      </c>
    </row>
    <row r="17" spans="1:2">
      <c r="A17" t="s">
        <v>264</v>
      </c>
      <c r="B17" s="78">
        <f>'valori e pesi DEXI-INVERSION'!F23</f>
        <v>0</v>
      </c>
    </row>
    <row r="18" spans="1:2">
      <c r="A18" t="s">
        <v>265</v>
      </c>
      <c r="B18" s="78">
        <f>'valori e pesi DEXI-INVERSION'!F24</f>
        <v>1</v>
      </c>
    </row>
    <row r="19" spans="1:2">
      <c r="A19" t="s">
        <v>266</v>
      </c>
      <c r="B19" s="78">
        <f>'valori e pesi DEXI-INVERSION'!F25</f>
        <v>1</v>
      </c>
    </row>
    <row r="20" spans="1:2">
      <c r="A20" t="s">
        <v>267</v>
      </c>
      <c r="B20" s="78">
        <f>'valori e pesi DEXI-INVERSION'!F26</f>
        <v>1</v>
      </c>
    </row>
    <row r="21" spans="1:2">
      <c r="A21" t="s">
        <v>268</v>
      </c>
      <c r="B21" s="78">
        <f>'valori e pesi DEXI-INVERSION'!F27</f>
        <v>0</v>
      </c>
    </row>
    <row r="22" spans="1:2">
      <c r="A22" t="s">
        <v>269</v>
      </c>
      <c r="B22" s="78">
        <f>'valori e pesi DEXI-INVERSION'!F30</f>
        <v>1</v>
      </c>
    </row>
    <row r="23" spans="1:2">
      <c r="A23" t="s">
        <v>270</v>
      </c>
      <c r="B23" s="78">
        <f>'valori e pesi DEXI-INVERSION'!F31</f>
        <v>1</v>
      </c>
    </row>
    <row r="24" spans="1:2">
      <c r="A24" t="s">
        <v>248</v>
      </c>
      <c r="B24" s="78">
        <f>'valori e pesi DEXI-INVERSION'!F32</f>
        <v>1</v>
      </c>
    </row>
    <row r="25" spans="1:2">
      <c r="A25" t="s">
        <v>271</v>
      </c>
      <c r="B25" s="78">
        <f>'valori e pesi DEXI-INVERSION'!F33</f>
        <v>1</v>
      </c>
    </row>
    <row r="26" spans="1:2">
      <c r="A26" t="s">
        <v>272</v>
      </c>
      <c r="B26" s="78">
        <f>'valori e pesi DEXI-INVERSION'!F34</f>
        <v>1</v>
      </c>
    </row>
    <row r="27" spans="1:2">
      <c r="A27" t="s">
        <v>273</v>
      </c>
      <c r="B27" s="78">
        <f>'valori e pesi DEXI-INVERSION'!F35</f>
        <v>1</v>
      </c>
    </row>
    <row r="28" spans="1:2">
      <c r="A28" t="s">
        <v>274</v>
      </c>
      <c r="B28" s="78">
        <f>'valori e pesi DEXI-INVERSION'!F40</f>
        <v>0</v>
      </c>
    </row>
    <row r="29" spans="1:2">
      <c r="A29" t="s">
        <v>275</v>
      </c>
      <c r="B29" s="78">
        <f>'valori e pesi DEXI-INVERSION'!F41</f>
        <v>-1</v>
      </c>
    </row>
    <row r="30" spans="1:2">
      <c r="A30" t="s">
        <v>276</v>
      </c>
      <c r="B30" s="78">
        <f>'valori e pesi DEXI-INVERSION'!F42</f>
        <v>-1</v>
      </c>
    </row>
    <row r="31" spans="1:2">
      <c r="A31" t="s">
        <v>277</v>
      </c>
      <c r="B31" s="78">
        <f>'valori e pesi DEXI-INVERSION'!F45</f>
        <v>1</v>
      </c>
    </row>
    <row r="32" spans="1:2">
      <c r="A32" t="s">
        <v>278</v>
      </c>
      <c r="B32" s="78">
        <f>'valori e pesi DEXI-INVERSION'!F46</f>
        <v>1</v>
      </c>
    </row>
    <row r="33" spans="1:2">
      <c r="A33" t="s">
        <v>279</v>
      </c>
      <c r="B33" s="78">
        <f>'valori e pesi DEXI-INVERSION'!F47</f>
        <v>1</v>
      </c>
    </row>
    <row r="34" spans="1:2">
      <c r="A34" t="s">
        <v>280</v>
      </c>
      <c r="B34" s="78">
        <f>'valori e pesi DEXI-INVERSION'!F50</f>
        <v>-1</v>
      </c>
    </row>
    <row r="35" spans="1:2">
      <c r="A35" t="s">
        <v>281</v>
      </c>
      <c r="B35" s="78">
        <f>'valori e pesi DEXI-INVERSION'!F51</f>
        <v>1</v>
      </c>
    </row>
    <row r="36" spans="1:2">
      <c r="A36" t="s">
        <v>282</v>
      </c>
      <c r="B36" s="78">
        <f>'valori e pesi DEXI-INVERSION'!F52</f>
        <v>0</v>
      </c>
    </row>
    <row r="37" spans="1:2">
      <c r="A37" t="s">
        <v>283</v>
      </c>
      <c r="B37" s="78">
        <f>'valori e pesi DEXI-INVERSION'!F53</f>
        <v>1</v>
      </c>
    </row>
    <row r="38" spans="1:2">
      <c r="A38" t="s">
        <v>284</v>
      </c>
      <c r="B38" s="78">
        <f>'valori e pesi DEXI-INVERSION'!F54</f>
        <v>1</v>
      </c>
    </row>
    <row r="39" spans="1:2">
      <c r="A39" t="s">
        <v>285</v>
      </c>
      <c r="B39" s="78">
        <f>'valori e pesi DEXI-INVERSION'!F55</f>
        <v>1</v>
      </c>
    </row>
    <row r="40" spans="1:2">
      <c r="A40" t="s">
        <v>286</v>
      </c>
      <c r="B40" s="78">
        <f>'valori e pesi DEXI-INVERSION'!F56</f>
        <v>0</v>
      </c>
    </row>
    <row r="41" spans="1:2">
      <c r="A41" t="s">
        <v>287</v>
      </c>
      <c r="B41" s="78">
        <f>'valori e pesi DEXI-INVERSION'!F60</f>
        <v>1</v>
      </c>
    </row>
    <row r="42" spans="1:2">
      <c r="A42" t="s">
        <v>288</v>
      </c>
      <c r="B42" s="78">
        <f>'valori e pesi DEXI-INVERSION'!F61</f>
        <v>1</v>
      </c>
    </row>
    <row r="43" spans="1:2">
      <c r="A43" t="s">
        <v>289</v>
      </c>
      <c r="B43" s="78">
        <f>'valori e pesi DEXI-INVERSION'!F62</f>
        <v>0</v>
      </c>
    </row>
    <row r="44" spans="1:2">
      <c r="A44" t="s">
        <v>290</v>
      </c>
      <c r="B44" s="78">
        <f>'valori e pesi DEXI-INVERSION'!F63</f>
        <v>0</v>
      </c>
    </row>
    <row r="45" spans="1:2">
      <c r="A45" t="s">
        <v>291</v>
      </c>
      <c r="B45" s="78">
        <f>'valori e pesi DEXI-INVERSION'!F64</f>
        <v>0</v>
      </c>
    </row>
    <row r="46" spans="1:2">
      <c r="A46" t="s">
        <v>292</v>
      </c>
      <c r="B46" s="78">
        <f>'valori e pesi DEXI-INVERSION'!F68</f>
        <v>-1</v>
      </c>
    </row>
    <row r="47" spans="1:2">
      <c r="A47" t="s">
        <v>293</v>
      </c>
      <c r="B47" s="78">
        <f>'valori e pesi DEXI-INVERSION'!F69</f>
        <v>0</v>
      </c>
    </row>
    <row r="48" spans="1:2">
      <c r="A48" t="s">
        <v>294</v>
      </c>
      <c r="B48" s="78">
        <f>'valori e pesi DEXI-INVERSION'!F70</f>
        <v>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3"/>
  <sheetViews>
    <sheetView topLeftCell="A19" zoomScale="85" zoomScaleNormal="85" workbookViewId="0">
      <selection activeCell="I21" sqref="I21:I23"/>
    </sheetView>
  </sheetViews>
  <sheetFormatPr defaultRowHeight="12.75"/>
  <cols>
    <col min="1" max="1" width="10.140625" customWidth="1"/>
    <col min="4" max="4" width="10" customWidth="1"/>
    <col min="5" max="5" width="15.42578125" customWidth="1"/>
    <col min="6" max="6" width="18.5703125" customWidth="1"/>
    <col min="8" max="8" width="13.42578125" customWidth="1"/>
    <col min="9" max="9" width="9.85546875" customWidth="1"/>
    <col min="10" max="10" width="20.140625" customWidth="1"/>
    <col min="11" max="12" width="16.85546875" customWidth="1"/>
  </cols>
  <sheetData>
    <row r="1" spans="1:12" ht="26.25">
      <c r="A1" s="134" t="s">
        <v>213</v>
      </c>
    </row>
    <row r="2" spans="1:12">
      <c r="A2" s="271" t="s">
        <v>243</v>
      </c>
    </row>
    <row r="3" spans="1:12">
      <c r="A3" s="272" t="s">
        <v>230</v>
      </c>
    </row>
    <row r="4" spans="1:12" ht="13.5" thickBot="1">
      <c r="A4" s="272"/>
      <c r="B4" s="397"/>
      <c r="C4" s="397"/>
      <c r="D4" s="396" t="s">
        <v>229</v>
      </c>
      <c r="E4" s="396"/>
      <c r="F4" s="396"/>
      <c r="G4" s="396"/>
      <c r="H4" s="396"/>
      <c r="I4" s="396"/>
      <c r="J4" s="273" t="s">
        <v>226</v>
      </c>
      <c r="K4" s="272"/>
      <c r="L4" s="272"/>
    </row>
    <row r="5" spans="1:12">
      <c r="A5" s="272"/>
      <c r="B5" s="388" t="s">
        <v>238</v>
      </c>
      <c r="C5" s="389"/>
      <c r="D5" s="390" t="s">
        <v>220</v>
      </c>
      <c r="E5" s="391"/>
      <c r="F5" s="392"/>
      <c r="G5" s="393" t="s">
        <v>221</v>
      </c>
      <c r="H5" s="394"/>
      <c r="I5" s="395"/>
      <c r="J5" s="296" t="s">
        <v>222</v>
      </c>
    </row>
    <row r="6" spans="1:12" ht="51">
      <c r="A6" s="272"/>
      <c r="B6" s="277" t="s">
        <v>218</v>
      </c>
      <c r="C6" s="278" t="s">
        <v>219</v>
      </c>
      <c r="D6" s="279" t="s">
        <v>223</v>
      </c>
      <c r="E6" s="274" t="s">
        <v>242</v>
      </c>
      <c r="F6" s="280" t="s">
        <v>241</v>
      </c>
      <c r="G6" s="281" t="s">
        <v>231</v>
      </c>
      <c r="H6" s="275" t="s">
        <v>224</v>
      </c>
      <c r="I6" s="282" t="s">
        <v>225</v>
      </c>
      <c r="J6" s="283" t="s">
        <v>227</v>
      </c>
    </row>
    <row r="7" spans="1:12">
      <c r="A7" s="272" t="s">
        <v>214</v>
      </c>
      <c r="B7" s="285">
        <v>0</v>
      </c>
      <c r="C7" s="286">
        <v>10</v>
      </c>
      <c r="D7" s="287">
        <v>1</v>
      </c>
      <c r="E7" s="288">
        <v>0</v>
      </c>
      <c r="F7" s="289">
        <v>0</v>
      </c>
      <c r="G7" s="287">
        <v>0.5</v>
      </c>
      <c r="H7" s="288">
        <v>0.5</v>
      </c>
      <c r="I7" s="289">
        <v>0</v>
      </c>
      <c r="J7" s="284">
        <v>2</v>
      </c>
      <c r="K7" s="272"/>
      <c r="L7" s="272"/>
    </row>
    <row r="8" spans="1:12">
      <c r="A8" s="272" t="s">
        <v>215</v>
      </c>
      <c r="B8" s="285">
        <f>C7</f>
        <v>10</v>
      </c>
      <c r="C8" s="286">
        <v>15</v>
      </c>
      <c r="D8" s="287">
        <v>0</v>
      </c>
      <c r="E8" s="288">
        <v>0.5</v>
      </c>
      <c r="F8" s="289">
        <v>0.5</v>
      </c>
      <c r="G8" s="287">
        <v>0</v>
      </c>
      <c r="H8" s="288">
        <v>1</v>
      </c>
      <c r="I8" s="289">
        <v>0</v>
      </c>
      <c r="J8" s="284">
        <v>1</v>
      </c>
      <c r="K8" s="272"/>
      <c r="L8" s="272"/>
    </row>
    <row r="9" spans="1:12">
      <c r="A9" s="272" t="s">
        <v>217</v>
      </c>
      <c r="B9" s="285">
        <f>C8</f>
        <v>15</v>
      </c>
      <c r="C9" s="286">
        <v>25</v>
      </c>
      <c r="D9" s="287">
        <v>0</v>
      </c>
      <c r="E9" s="288">
        <v>0</v>
      </c>
      <c r="F9" s="289">
        <v>0</v>
      </c>
      <c r="G9" s="287">
        <v>0</v>
      </c>
      <c r="H9" s="288">
        <v>0.5</v>
      </c>
      <c r="I9" s="289">
        <v>0.5</v>
      </c>
      <c r="J9" s="284">
        <v>0</v>
      </c>
      <c r="K9" s="272"/>
      <c r="L9" s="276"/>
    </row>
    <row r="10" spans="1:12">
      <c r="A10" s="272" t="s">
        <v>216</v>
      </c>
      <c r="B10" s="285"/>
      <c r="C10" s="286"/>
      <c r="D10" s="285"/>
      <c r="E10" s="290"/>
      <c r="F10" s="286"/>
      <c r="G10" s="285"/>
      <c r="H10" s="290"/>
      <c r="I10" s="286"/>
      <c r="J10" s="291"/>
      <c r="K10" s="272"/>
      <c r="L10" s="272"/>
    </row>
    <row r="11" spans="1:12" ht="13.5" thickBot="1">
      <c r="A11" s="272" t="s">
        <v>228</v>
      </c>
      <c r="B11" s="293"/>
      <c r="C11" s="292"/>
      <c r="D11" s="293"/>
      <c r="E11" s="294"/>
      <c r="F11" s="292"/>
      <c r="G11" s="293"/>
      <c r="H11" s="294"/>
      <c r="I11" s="292"/>
      <c r="J11" s="295"/>
      <c r="K11" s="272"/>
      <c r="L11" s="272"/>
    </row>
    <row r="12" spans="1:12">
      <c r="A12" s="272"/>
      <c r="B12" s="388" t="s">
        <v>237</v>
      </c>
      <c r="C12" s="389"/>
      <c r="D12" s="390" t="s">
        <v>232</v>
      </c>
      <c r="E12" s="391"/>
      <c r="F12" s="392"/>
      <c r="G12" s="393" t="s">
        <v>233</v>
      </c>
      <c r="H12" s="394"/>
      <c r="I12" s="395"/>
      <c r="J12" s="297" t="s">
        <v>234</v>
      </c>
      <c r="K12" s="298" t="s">
        <v>239</v>
      </c>
      <c r="L12" s="272"/>
    </row>
    <row r="13" spans="1:12">
      <c r="A13" s="272" t="s">
        <v>214</v>
      </c>
      <c r="B13" s="403">
        <f>C7-B7</f>
        <v>10</v>
      </c>
      <c r="C13" s="404"/>
      <c r="D13" s="407">
        <f>(D7*1+E7*0+F7*-1)/IF(SUM(D7:F7)&gt;0,SUM(D7:F7),1)</f>
        <v>1</v>
      </c>
      <c r="E13" s="408"/>
      <c r="F13" s="409"/>
      <c r="G13" s="431">
        <f>(G7*1+H7*0+I7*-1)/IF(SUM(G7:I7)&gt;0,SUM(G7:I7),1)</f>
        <v>0.5</v>
      </c>
      <c r="H13" s="432"/>
      <c r="I13" s="433"/>
      <c r="J13" s="299">
        <f>IF(J7&gt;1,1,IF(J7=1,0,-1))</f>
        <v>1</v>
      </c>
      <c r="K13" s="300">
        <f t="shared" ref="K13:K14" si="0">IF(B13&gt;0,SUM(D13:J13),"")</f>
        <v>2.5</v>
      </c>
    </row>
    <row r="14" spans="1:12">
      <c r="A14" s="272" t="s">
        <v>215</v>
      </c>
      <c r="B14" s="403">
        <f t="shared" ref="B14:B17" si="1">C8-B8</f>
        <v>5</v>
      </c>
      <c r="C14" s="404"/>
      <c r="D14" s="407">
        <f t="shared" ref="D14:D17" si="2">(D8*1+E8*0+F8*-1)/IF(SUM(D8:F8)&gt;0,SUM(D8:F8),1)</f>
        <v>-0.5</v>
      </c>
      <c r="E14" s="408"/>
      <c r="F14" s="409"/>
      <c r="G14" s="431">
        <f t="shared" ref="G14:G17" si="3">(G8*1+H8*0+I8*-1)/IF(SUM(G8:I8)&gt;0,SUM(G8:I8),1)</f>
        <v>0</v>
      </c>
      <c r="H14" s="432"/>
      <c r="I14" s="433"/>
      <c r="J14" s="299">
        <f t="shared" ref="J14:J17" si="4">IF(J8&gt;1,1,IF(J8=1,0,-1))</f>
        <v>0</v>
      </c>
      <c r="K14" s="300">
        <f t="shared" si="0"/>
        <v>-0.5</v>
      </c>
    </row>
    <row r="15" spans="1:12">
      <c r="A15" s="272" t="s">
        <v>217</v>
      </c>
      <c r="B15" s="403">
        <f t="shared" si="1"/>
        <v>10</v>
      </c>
      <c r="C15" s="404"/>
      <c r="D15" s="407">
        <f t="shared" si="2"/>
        <v>0</v>
      </c>
      <c r="E15" s="408"/>
      <c r="F15" s="409"/>
      <c r="G15" s="431">
        <f t="shared" si="3"/>
        <v>-0.5</v>
      </c>
      <c r="H15" s="432"/>
      <c r="I15" s="433"/>
      <c r="J15" s="299">
        <f t="shared" si="4"/>
        <v>-1</v>
      </c>
      <c r="K15" s="300">
        <f>IF(B15&gt;0,SUM(D15:J15),"")</f>
        <v>-1.5</v>
      </c>
    </row>
    <row r="16" spans="1:12">
      <c r="A16" s="272" t="s">
        <v>216</v>
      </c>
      <c r="B16" s="403">
        <f t="shared" si="1"/>
        <v>0</v>
      </c>
      <c r="C16" s="404"/>
      <c r="D16" s="407">
        <f t="shared" si="2"/>
        <v>0</v>
      </c>
      <c r="E16" s="408"/>
      <c r="F16" s="409"/>
      <c r="G16" s="431">
        <f t="shared" si="3"/>
        <v>0</v>
      </c>
      <c r="H16" s="432"/>
      <c r="I16" s="433"/>
      <c r="J16" s="299">
        <f t="shared" si="4"/>
        <v>-1</v>
      </c>
      <c r="K16" s="300" t="str">
        <f>IF(B16&gt;0,SUM(D16:J16),"")</f>
        <v/>
      </c>
    </row>
    <row r="17" spans="1:11" ht="13.5" thickBot="1">
      <c r="A17" s="272" t="s">
        <v>228</v>
      </c>
      <c r="B17" s="405">
        <f t="shared" si="1"/>
        <v>0</v>
      </c>
      <c r="C17" s="406"/>
      <c r="D17" s="410">
        <f t="shared" si="2"/>
        <v>0</v>
      </c>
      <c r="E17" s="411"/>
      <c r="F17" s="412"/>
      <c r="G17" s="398">
        <f t="shared" si="3"/>
        <v>0</v>
      </c>
      <c r="H17" s="399"/>
      <c r="I17" s="400"/>
      <c r="J17" s="301">
        <f t="shared" si="4"/>
        <v>-1</v>
      </c>
      <c r="K17" s="302" t="str">
        <f>IF(B17&gt;0,SUM(D17:J17),"")</f>
        <v/>
      </c>
    </row>
    <row r="18" spans="1:11">
      <c r="D18" s="401"/>
      <c r="E18" s="401"/>
      <c r="F18" s="401"/>
      <c r="G18" s="402"/>
      <c r="H18" s="402"/>
      <c r="I18" s="402"/>
      <c r="J18" s="18"/>
      <c r="K18" s="18"/>
    </row>
    <row r="19" spans="1:11" ht="15.75">
      <c r="B19" s="420" t="s">
        <v>106</v>
      </c>
      <c r="C19" s="420"/>
      <c r="D19" s="420"/>
      <c r="E19" s="420"/>
      <c r="F19" s="420"/>
      <c r="G19" s="420"/>
      <c r="H19" s="420"/>
      <c r="I19" s="420"/>
    </row>
    <row r="20" spans="1:11" ht="48" thickBot="1">
      <c r="B20" s="421" t="s">
        <v>236</v>
      </c>
      <c r="C20" s="421"/>
      <c r="D20" s="421"/>
      <c r="E20" s="190" t="s">
        <v>201</v>
      </c>
      <c r="F20" s="419" t="s">
        <v>202</v>
      </c>
      <c r="G20" s="419"/>
      <c r="H20" s="419"/>
      <c r="I20" s="303" t="s">
        <v>203</v>
      </c>
    </row>
    <row r="21" spans="1:11" ht="15.6" customHeight="1">
      <c r="B21" s="422" t="s">
        <v>235</v>
      </c>
      <c r="C21" s="423"/>
      <c r="D21" s="423"/>
      <c r="E21" s="428">
        <f>SUMPRODUCT(B13:B17,K13:K17)/SUM(B13:B17)</f>
        <v>0.3</v>
      </c>
      <c r="F21" s="417" t="str">
        <f>IF($L21&gt;1.5,"Sostenibilità alta","")</f>
        <v/>
      </c>
      <c r="G21" s="417"/>
      <c r="H21" s="417"/>
      <c r="I21" s="413">
        <f>IF(F23="Sostenibilità bassa",-1,IF(F21="Sostenibilità alta",1,IF(F22="Sostenibilità intermedia",)))</f>
        <v>0</v>
      </c>
    </row>
    <row r="22" spans="1:11" ht="15.6" customHeight="1">
      <c r="B22" s="424"/>
      <c r="C22" s="425"/>
      <c r="D22" s="425"/>
      <c r="E22" s="429"/>
      <c r="F22" s="416" t="str">
        <f>IF(AND($L21&gt;=-1.5,$L21&lt;=1.5),"Sostenibilità intermedia","")</f>
        <v>Sostenibilità intermedia</v>
      </c>
      <c r="G22" s="416"/>
      <c r="H22" s="416"/>
      <c r="I22" s="414"/>
    </row>
    <row r="23" spans="1:11" ht="15.95" customHeight="1" thickBot="1">
      <c r="B23" s="426"/>
      <c r="C23" s="427"/>
      <c r="D23" s="427"/>
      <c r="E23" s="430"/>
      <c r="F23" s="418" t="str">
        <f>IF(E21&lt;-1.5,"Sostenibilità bassa","")</f>
        <v/>
      </c>
      <c r="G23" s="418"/>
      <c r="H23" s="418"/>
      <c r="I23" s="415"/>
    </row>
  </sheetData>
  <mergeCells count="34">
    <mergeCell ref="I21:I23"/>
    <mergeCell ref="D12:F12"/>
    <mergeCell ref="B12:C12"/>
    <mergeCell ref="G12:I12"/>
    <mergeCell ref="F22:H22"/>
    <mergeCell ref="F21:H21"/>
    <mergeCell ref="F23:H23"/>
    <mergeCell ref="F20:H20"/>
    <mergeCell ref="B19:I19"/>
    <mergeCell ref="B20:D20"/>
    <mergeCell ref="B21:D23"/>
    <mergeCell ref="E21:E23"/>
    <mergeCell ref="G13:I13"/>
    <mergeCell ref="G14:I14"/>
    <mergeCell ref="G15:I15"/>
    <mergeCell ref="G16:I16"/>
    <mergeCell ref="G17:I17"/>
    <mergeCell ref="D18:F18"/>
    <mergeCell ref="G18:I18"/>
    <mergeCell ref="B13:C13"/>
    <mergeCell ref="B14:C14"/>
    <mergeCell ref="B15:C15"/>
    <mergeCell ref="B16:C16"/>
    <mergeCell ref="B17:C17"/>
    <mergeCell ref="D13:F13"/>
    <mergeCell ref="D14:F14"/>
    <mergeCell ref="D15:F15"/>
    <mergeCell ref="D16:F16"/>
    <mergeCell ref="D17:F17"/>
    <mergeCell ref="B5:C5"/>
    <mergeCell ref="D5:F5"/>
    <mergeCell ref="G5:I5"/>
    <mergeCell ref="D4:I4"/>
    <mergeCell ref="B4:C4"/>
  </mergeCells>
  <pageMargins left="0.7" right="0.7" top="0.75" bottom="0.75" header="0.3" footer="0.3"/>
  <pageSetup paperSize="9" orientation="portrait" r:id="rId1"/>
  <ignoredErrors>
    <ignoredError sqref="D13:F17 G13:I1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FD43"/>
  <sheetViews>
    <sheetView tabSelected="1" topLeftCell="A25" zoomScale="70" zoomScaleNormal="70" workbookViewId="0">
      <selection activeCell="A37" sqref="A37"/>
    </sheetView>
  </sheetViews>
  <sheetFormatPr defaultColWidth="8.7109375" defaultRowHeight="15" customHeight="1"/>
  <cols>
    <col min="1" max="1" width="35.5703125" style="83" customWidth="1"/>
    <col min="2" max="2" width="19.85546875" style="83" customWidth="1"/>
    <col min="3" max="3" width="21.140625" style="83" customWidth="1"/>
    <col min="4" max="4" width="17.28515625" style="83" customWidth="1"/>
    <col min="5" max="5" width="10.140625" style="83" customWidth="1"/>
    <col min="6" max="6" width="15.7109375" style="83" customWidth="1"/>
    <col min="7" max="7" width="11.5703125" style="83" customWidth="1"/>
    <col min="8" max="8" width="11" style="83" customWidth="1"/>
    <col min="9" max="9" width="4.140625" style="83" bestFit="1" customWidth="1"/>
    <col min="10" max="10" width="5.42578125" style="83" bestFit="1" customWidth="1"/>
    <col min="11" max="11" width="11.140625" style="83" bestFit="1" customWidth="1"/>
    <col min="12" max="12" width="4.140625" style="83" bestFit="1" customWidth="1"/>
    <col min="13" max="1023" width="9.7109375" style="83" customWidth="1"/>
    <col min="1024" max="1024" width="9.7109375" style="84" customWidth="1"/>
    <col min="1025" max="1025" width="9.42578125" style="84" customWidth="1"/>
    <col min="1026" max="16384" width="8.7109375" style="84"/>
  </cols>
  <sheetData>
    <row r="1" spans="1:1024" ht="16.5" thickBot="1">
      <c r="A1" s="80"/>
      <c r="B1" s="81" t="s">
        <v>26</v>
      </c>
      <c r="C1" s="81" t="s">
        <v>26</v>
      </c>
      <c r="D1" s="82"/>
      <c r="E1" s="82"/>
      <c r="F1" s="82"/>
      <c r="G1" s="80"/>
      <c r="H1" s="80"/>
    </row>
    <row r="2" spans="1:1024" ht="32.1" customHeight="1">
      <c r="A2" s="80"/>
      <c r="B2" s="187" t="s">
        <v>66</v>
      </c>
      <c r="C2" s="185" t="s">
        <v>67</v>
      </c>
      <c r="D2" s="82"/>
      <c r="E2" s="82"/>
      <c r="F2" s="82"/>
      <c r="G2" s="455" t="s">
        <v>65</v>
      </c>
      <c r="H2" s="456"/>
      <c r="I2" s="457"/>
      <c r="J2" s="440" t="s">
        <v>67</v>
      </c>
      <c r="K2" s="441"/>
      <c r="L2" s="442"/>
      <c r="AMJ2" s="83"/>
    </row>
    <row r="3" spans="1:1024" ht="16.5" thickBot="1">
      <c r="A3" s="80" t="s">
        <v>27</v>
      </c>
      <c r="B3" s="188" t="s">
        <v>28</v>
      </c>
      <c r="C3" s="186" t="s">
        <v>28</v>
      </c>
      <c r="D3" s="85" t="s">
        <v>29</v>
      </c>
      <c r="E3" s="85" t="s">
        <v>30</v>
      </c>
      <c r="F3" s="85" t="s">
        <v>96</v>
      </c>
      <c r="G3" s="114" t="s">
        <v>31</v>
      </c>
      <c r="H3" s="115" t="s">
        <v>32</v>
      </c>
      <c r="I3" s="116" t="s">
        <v>53</v>
      </c>
      <c r="J3" s="117" t="s">
        <v>31</v>
      </c>
      <c r="K3" s="118" t="s">
        <v>32</v>
      </c>
      <c r="L3" s="119" t="s">
        <v>53</v>
      </c>
      <c r="AMJ3" s="83"/>
    </row>
    <row r="4" spans="1:1024" ht="15.75">
      <c r="A4" s="80"/>
      <c r="B4" s="180"/>
      <c r="C4" s="184"/>
      <c r="D4" s="443" t="s">
        <v>33</v>
      </c>
      <c r="E4" s="443"/>
      <c r="F4" s="444"/>
      <c r="G4" s="86"/>
      <c r="H4" s="87"/>
      <c r="I4" s="88"/>
      <c r="J4" s="89"/>
      <c r="K4" s="90"/>
      <c r="L4" s="91"/>
      <c r="AMJ4" s="83"/>
    </row>
    <row r="5" spans="1:1024" ht="15.75">
      <c r="A5" s="80" t="s">
        <v>34</v>
      </c>
      <c r="B5" s="172">
        <v>10</v>
      </c>
      <c r="C5" s="173">
        <v>10</v>
      </c>
      <c r="D5" s="92">
        <v>7.0000000000000007E-2</v>
      </c>
      <c r="E5" s="92">
        <v>0.35</v>
      </c>
      <c r="F5" s="131">
        <v>0.28499999999999998</v>
      </c>
      <c r="G5" s="108">
        <f>B5*($E5)</f>
        <v>3.5</v>
      </c>
      <c r="H5" s="109">
        <f>$D5*B5</f>
        <v>0.70000000000000007</v>
      </c>
      <c r="I5" s="110">
        <f>B5*$F5</f>
        <v>2.8499999999999996</v>
      </c>
      <c r="J5" s="120">
        <f>C5*($E5)</f>
        <v>3.5</v>
      </c>
      <c r="K5" s="121">
        <f>$D5*C5</f>
        <v>0.70000000000000007</v>
      </c>
      <c r="L5" s="122">
        <f>C5*$F5</f>
        <v>2.8499999999999996</v>
      </c>
      <c r="AMJ5" s="83"/>
    </row>
    <row r="6" spans="1:1024" ht="15.75">
      <c r="A6" s="80" t="s">
        <v>35</v>
      </c>
      <c r="B6" s="172">
        <v>40</v>
      </c>
      <c r="C6" s="174">
        <v>0</v>
      </c>
      <c r="D6" s="92">
        <v>0.05</v>
      </c>
      <c r="E6" s="92">
        <v>0.33500000000000002</v>
      </c>
      <c r="F6" s="131">
        <v>0.23499999999999999</v>
      </c>
      <c r="G6" s="108">
        <f t="shared" ref="G6:G21" si="0">B6*($E6)</f>
        <v>13.4</v>
      </c>
      <c r="H6" s="109">
        <f t="shared" ref="H6:H21" si="1">$D6*B6</f>
        <v>2</v>
      </c>
      <c r="I6" s="110">
        <f t="shared" ref="I6:I21" si="2">B6*$F6</f>
        <v>9.3999999999999986</v>
      </c>
      <c r="J6" s="120">
        <f t="shared" ref="J6:J21" si="3">C6*($E6)</f>
        <v>0</v>
      </c>
      <c r="K6" s="121">
        <f t="shared" ref="K6:K21" si="4">$D6*C6</f>
        <v>0</v>
      </c>
      <c r="L6" s="122">
        <f t="shared" ref="L6:L21" si="5">C6*$F6</f>
        <v>0</v>
      </c>
      <c r="AMJ6" s="83"/>
    </row>
    <row r="7" spans="1:1024" ht="15.75">
      <c r="A7" s="80" t="s">
        <v>245</v>
      </c>
      <c r="B7" s="175"/>
      <c r="C7" s="176"/>
      <c r="D7" s="92">
        <v>0.23</v>
      </c>
      <c r="E7" s="92">
        <v>0.873</v>
      </c>
      <c r="F7" s="131">
        <v>0.48499999999999999</v>
      </c>
      <c r="G7" s="108">
        <f t="shared" si="0"/>
        <v>0</v>
      </c>
      <c r="H7" s="109">
        <f t="shared" si="1"/>
        <v>0</v>
      </c>
      <c r="I7" s="110">
        <f t="shared" si="2"/>
        <v>0</v>
      </c>
      <c r="J7" s="120">
        <f t="shared" si="3"/>
        <v>0</v>
      </c>
      <c r="K7" s="121">
        <f t="shared" si="4"/>
        <v>0</v>
      </c>
      <c r="L7" s="122">
        <f t="shared" si="5"/>
        <v>0</v>
      </c>
      <c r="AMJ7" s="83"/>
    </row>
    <row r="8" spans="1:1024" ht="15.75">
      <c r="A8" s="80" t="s">
        <v>244</v>
      </c>
      <c r="B8" s="175">
        <v>17</v>
      </c>
      <c r="C8" s="176">
        <v>17</v>
      </c>
      <c r="D8" s="92">
        <v>0.1</v>
      </c>
      <c r="E8" s="92">
        <v>0.86499999999999999</v>
      </c>
      <c r="F8" s="131">
        <v>0.53</v>
      </c>
      <c r="G8" s="108">
        <f t="shared" si="0"/>
        <v>14.705</v>
      </c>
      <c r="H8" s="109">
        <f t="shared" si="1"/>
        <v>1.7000000000000002</v>
      </c>
      <c r="I8" s="110">
        <f t="shared" si="2"/>
        <v>9.01</v>
      </c>
      <c r="J8" s="120">
        <f t="shared" si="3"/>
        <v>14.705</v>
      </c>
      <c r="K8" s="121">
        <f t="shared" si="4"/>
        <v>1.7000000000000002</v>
      </c>
      <c r="L8" s="122">
        <f t="shared" si="5"/>
        <v>9.01</v>
      </c>
      <c r="AMJ8" s="83"/>
    </row>
    <row r="9" spans="1:1024" ht="15.75">
      <c r="A9" s="80" t="s">
        <v>36</v>
      </c>
      <c r="B9" s="175">
        <v>5</v>
      </c>
      <c r="C9" s="176">
        <v>5</v>
      </c>
      <c r="D9" s="92">
        <v>0.15</v>
      </c>
      <c r="E9" s="92">
        <v>0.9</v>
      </c>
      <c r="F9" s="131">
        <v>1</v>
      </c>
      <c r="G9" s="108">
        <f t="shared" si="0"/>
        <v>4.5</v>
      </c>
      <c r="H9" s="109">
        <f t="shared" si="1"/>
        <v>0.75</v>
      </c>
      <c r="I9" s="110">
        <f t="shared" si="2"/>
        <v>5</v>
      </c>
      <c r="J9" s="120">
        <f t="shared" si="3"/>
        <v>4.5</v>
      </c>
      <c r="K9" s="121">
        <f t="shared" si="4"/>
        <v>0.75</v>
      </c>
      <c r="L9" s="122">
        <f t="shared" si="5"/>
        <v>5</v>
      </c>
      <c r="AMJ9" s="83"/>
    </row>
    <row r="10" spans="1:1024" ht="15.75">
      <c r="A10" s="130" t="s">
        <v>54</v>
      </c>
      <c r="B10" s="175"/>
      <c r="C10" s="177"/>
      <c r="D10" s="92">
        <v>0.44</v>
      </c>
      <c r="E10" s="92">
        <v>0.89600000000000002</v>
      </c>
      <c r="F10" s="131">
        <v>1.1000000000000001</v>
      </c>
      <c r="G10" s="108">
        <f t="shared" si="0"/>
        <v>0</v>
      </c>
      <c r="H10" s="109">
        <f t="shared" si="1"/>
        <v>0</v>
      </c>
      <c r="I10" s="110">
        <f t="shared" si="2"/>
        <v>0</v>
      </c>
      <c r="J10" s="120">
        <f t="shared" ref="J10:J18" si="6">C10*($E10)</f>
        <v>0</v>
      </c>
      <c r="K10" s="121">
        <f t="shared" ref="K10:K18" si="7">$D10*C10</f>
        <v>0</v>
      </c>
      <c r="L10" s="122">
        <f t="shared" ref="L10:L18" si="8">C10*$F10</f>
        <v>0</v>
      </c>
      <c r="AMJ10" s="83"/>
    </row>
    <row r="11" spans="1:1024" ht="15.75">
      <c r="A11" s="130" t="s">
        <v>55</v>
      </c>
      <c r="B11" s="178"/>
      <c r="C11" s="176"/>
      <c r="D11" s="92">
        <v>0.26</v>
      </c>
      <c r="E11" s="92">
        <v>0.88</v>
      </c>
      <c r="F11" s="131">
        <v>1</v>
      </c>
      <c r="G11" s="108">
        <f t="shared" si="0"/>
        <v>0</v>
      </c>
      <c r="H11" s="109">
        <f t="shared" si="1"/>
        <v>0</v>
      </c>
      <c r="I11" s="110">
        <f t="shared" si="2"/>
        <v>0</v>
      </c>
      <c r="J11" s="120">
        <f t="shared" si="6"/>
        <v>0</v>
      </c>
      <c r="K11" s="121">
        <f t="shared" si="7"/>
        <v>0</v>
      </c>
      <c r="L11" s="122">
        <f t="shared" si="8"/>
        <v>0</v>
      </c>
      <c r="AMJ11" s="83"/>
    </row>
    <row r="12" spans="1:1024" ht="15.75">
      <c r="A12" s="130" t="s">
        <v>56</v>
      </c>
      <c r="B12" s="172"/>
      <c r="C12" s="174"/>
      <c r="D12" s="92">
        <v>0.23</v>
      </c>
      <c r="E12" s="92">
        <v>0.878</v>
      </c>
      <c r="F12" s="131">
        <v>1</v>
      </c>
      <c r="G12" s="108">
        <f t="shared" si="0"/>
        <v>0</v>
      </c>
      <c r="H12" s="109">
        <f t="shared" si="1"/>
        <v>0</v>
      </c>
      <c r="I12" s="110">
        <f t="shared" si="2"/>
        <v>0</v>
      </c>
      <c r="J12" s="120">
        <f t="shared" si="6"/>
        <v>0</v>
      </c>
      <c r="K12" s="121">
        <f t="shared" si="7"/>
        <v>0</v>
      </c>
      <c r="L12" s="122">
        <f t="shared" si="8"/>
        <v>0</v>
      </c>
      <c r="AMJ12" s="83"/>
    </row>
    <row r="13" spans="1:1024" ht="15.75">
      <c r="A13" s="130" t="s">
        <v>57</v>
      </c>
      <c r="B13" s="178"/>
      <c r="C13" s="176"/>
      <c r="D13" s="92">
        <v>0.11</v>
      </c>
      <c r="E13" s="92">
        <v>0.878</v>
      </c>
      <c r="F13" s="131">
        <v>0.95</v>
      </c>
      <c r="G13" s="108">
        <f t="shared" si="0"/>
        <v>0</v>
      </c>
      <c r="H13" s="109">
        <f t="shared" si="1"/>
        <v>0</v>
      </c>
      <c r="I13" s="110">
        <f t="shared" si="2"/>
        <v>0</v>
      </c>
      <c r="J13" s="120">
        <f t="shared" si="6"/>
        <v>0</v>
      </c>
      <c r="K13" s="121">
        <f t="shared" si="7"/>
        <v>0</v>
      </c>
      <c r="L13" s="122">
        <f t="shared" si="8"/>
        <v>0</v>
      </c>
      <c r="AMJ13" s="83"/>
    </row>
    <row r="14" spans="1:1024" ht="15.75">
      <c r="A14" s="130" t="s">
        <v>58</v>
      </c>
      <c r="B14" s="178"/>
      <c r="C14" s="177"/>
      <c r="D14" s="92">
        <v>8.7999999999999995E-2</v>
      </c>
      <c r="E14" s="92">
        <v>0.87</v>
      </c>
      <c r="F14" s="131">
        <v>1.1100000000000001</v>
      </c>
      <c r="G14" s="108">
        <f t="shared" si="0"/>
        <v>0</v>
      </c>
      <c r="H14" s="109">
        <f t="shared" si="1"/>
        <v>0</v>
      </c>
      <c r="I14" s="110">
        <f t="shared" si="2"/>
        <v>0</v>
      </c>
      <c r="J14" s="120">
        <f t="shared" si="6"/>
        <v>0</v>
      </c>
      <c r="K14" s="121">
        <f t="shared" si="7"/>
        <v>0</v>
      </c>
      <c r="L14" s="122">
        <f t="shared" si="8"/>
        <v>0</v>
      </c>
      <c r="AMJ14" s="83"/>
    </row>
    <row r="15" spans="1:1024" ht="15.75">
      <c r="A15" s="132" t="s">
        <v>247</v>
      </c>
      <c r="B15" s="178"/>
      <c r="C15" s="176"/>
      <c r="D15" s="92">
        <v>0.108</v>
      </c>
      <c r="E15" s="92">
        <v>0.86399999999999999</v>
      </c>
      <c r="F15" s="131">
        <v>1.0249999999999999</v>
      </c>
      <c r="G15" s="108">
        <f t="shared" si="0"/>
        <v>0</v>
      </c>
      <c r="H15" s="109">
        <f t="shared" si="1"/>
        <v>0</v>
      </c>
      <c r="I15" s="110">
        <f t="shared" si="2"/>
        <v>0</v>
      </c>
      <c r="J15" s="120">
        <f t="shared" si="6"/>
        <v>0</v>
      </c>
      <c r="K15" s="121">
        <f t="shared" si="7"/>
        <v>0</v>
      </c>
      <c r="L15" s="122">
        <f t="shared" si="8"/>
        <v>0</v>
      </c>
      <c r="AMJ15" s="83"/>
    </row>
    <row r="16" spans="1:1024" ht="15.75">
      <c r="A16" s="132" t="s">
        <v>59</v>
      </c>
      <c r="B16" s="178"/>
      <c r="C16" s="179"/>
      <c r="D16" s="92">
        <v>0.107</v>
      </c>
      <c r="E16" s="92">
        <v>0.88</v>
      </c>
      <c r="F16" s="131">
        <v>1.01</v>
      </c>
      <c r="G16" s="108">
        <f t="shared" si="0"/>
        <v>0</v>
      </c>
      <c r="H16" s="109">
        <f t="shared" si="1"/>
        <v>0</v>
      </c>
      <c r="I16" s="110">
        <f t="shared" si="2"/>
        <v>0</v>
      </c>
      <c r="J16" s="120">
        <f t="shared" si="6"/>
        <v>0</v>
      </c>
      <c r="K16" s="121">
        <f t="shared" si="7"/>
        <v>0</v>
      </c>
      <c r="L16" s="122">
        <f t="shared" si="8"/>
        <v>0</v>
      </c>
      <c r="AMJ16" s="83"/>
    </row>
    <row r="17" spans="1:1024 16382:16384" ht="15.75">
      <c r="A17" s="132" t="s">
        <v>60</v>
      </c>
      <c r="B17" s="178"/>
      <c r="C17" s="177"/>
      <c r="D17" s="92">
        <v>0.11</v>
      </c>
      <c r="E17" s="92">
        <v>0.88</v>
      </c>
      <c r="F17" s="131">
        <v>1</v>
      </c>
      <c r="G17" s="108">
        <f t="shared" si="0"/>
        <v>0</v>
      </c>
      <c r="H17" s="109">
        <f t="shared" si="1"/>
        <v>0</v>
      </c>
      <c r="I17" s="110">
        <f t="shared" si="2"/>
        <v>0</v>
      </c>
      <c r="J17" s="120">
        <f t="shared" si="6"/>
        <v>0</v>
      </c>
      <c r="K17" s="121">
        <f t="shared" si="7"/>
        <v>0</v>
      </c>
      <c r="L17" s="122">
        <f t="shared" si="8"/>
        <v>0</v>
      </c>
      <c r="AMJ17" s="83"/>
    </row>
    <row r="18" spans="1:1024 16382:16384" ht="15.75">
      <c r="A18" s="169" t="s">
        <v>61</v>
      </c>
      <c r="B18" s="180"/>
      <c r="C18" s="177"/>
      <c r="D18" s="92">
        <v>0.105</v>
      </c>
      <c r="E18" s="92">
        <v>0.88</v>
      </c>
      <c r="F18" s="131">
        <v>0.98499999999999999</v>
      </c>
      <c r="G18" s="108">
        <f t="shared" si="0"/>
        <v>0</v>
      </c>
      <c r="H18" s="109">
        <f t="shared" si="1"/>
        <v>0</v>
      </c>
      <c r="I18" s="110">
        <f t="shared" si="2"/>
        <v>0</v>
      </c>
      <c r="J18" s="120">
        <f t="shared" si="6"/>
        <v>0</v>
      </c>
      <c r="K18" s="121">
        <f t="shared" si="7"/>
        <v>0</v>
      </c>
      <c r="L18" s="122">
        <f t="shared" si="8"/>
        <v>0</v>
      </c>
      <c r="AMJ18" s="83"/>
    </row>
    <row r="19" spans="1:1024 16382:16384" ht="15.75">
      <c r="A19" s="80" t="s">
        <v>64</v>
      </c>
      <c r="B19" s="181"/>
      <c r="C19" s="177"/>
      <c r="D19" s="92"/>
      <c r="E19" s="92"/>
      <c r="F19" s="92"/>
      <c r="G19" s="108">
        <f t="shared" si="0"/>
        <v>0</v>
      </c>
      <c r="H19" s="109">
        <f t="shared" si="1"/>
        <v>0</v>
      </c>
      <c r="I19" s="110">
        <f t="shared" si="2"/>
        <v>0</v>
      </c>
      <c r="J19" s="120">
        <f t="shared" si="3"/>
        <v>0</v>
      </c>
      <c r="K19" s="121">
        <f t="shared" si="4"/>
        <v>0</v>
      </c>
      <c r="L19" s="122">
        <f t="shared" si="5"/>
        <v>0</v>
      </c>
      <c r="AMJ19" s="83"/>
    </row>
    <row r="20" spans="1:1024 16382:16384" ht="15.75">
      <c r="A20" s="80" t="s">
        <v>37</v>
      </c>
      <c r="B20" s="172"/>
      <c r="C20" s="177"/>
      <c r="D20" s="92"/>
      <c r="E20" s="165">
        <v>0.15</v>
      </c>
      <c r="F20" s="92"/>
      <c r="G20" s="108">
        <f t="shared" si="0"/>
        <v>0</v>
      </c>
      <c r="H20" s="109">
        <f t="shared" si="1"/>
        <v>0</v>
      </c>
      <c r="I20" s="110">
        <f t="shared" si="2"/>
        <v>0</v>
      </c>
      <c r="J20" s="120">
        <f t="shared" si="3"/>
        <v>0</v>
      </c>
      <c r="K20" s="121">
        <f t="shared" si="4"/>
        <v>0</v>
      </c>
      <c r="L20" s="122">
        <f t="shared" si="5"/>
        <v>0</v>
      </c>
      <c r="AMJ20" s="83"/>
    </row>
    <row r="21" spans="1:1024 16382:16384" ht="16.5" thickBot="1">
      <c r="A21" s="93" t="s">
        <v>38</v>
      </c>
      <c r="B21" s="182"/>
      <c r="C21" s="183"/>
      <c r="D21" s="170"/>
      <c r="E21" s="166"/>
      <c r="F21" s="167"/>
      <c r="G21" s="111">
        <f t="shared" si="0"/>
        <v>0</v>
      </c>
      <c r="H21" s="112">
        <f t="shared" si="1"/>
        <v>0</v>
      </c>
      <c r="I21" s="113">
        <f t="shared" si="2"/>
        <v>0</v>
      </c>
      <c r="J21" s="123">
        <f t="shared" si="3"/>
        <v>0</v>
      </c>
      <c r="K21" s="124">
        <f t="shared" si="4"/>
        <v>0</v>
      </c>
      <c r="L21" s="125">
        <f t="shared" si="5"/>
        <v>0</v>
      </c>
      <c r="AMJ21" s="83"/>
    </row>
    <row r="22" spans="1:1024 16382:16384" s="107" customFormat="1" ht="15" customHeight="1" thickBot="1">
      <c r="A22" s="103"/>
      <c r="B22" s="171"/>
      <c r="C22" s="171"/>
      <c r="D22" s="105"/>
      <c r="E22" s="164"/>
      <c r="F22" s="168"/>
      <c r="G22" s="106"/>
      <c r="H22" s="106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  <c r="IR22" s="104"/>
      <c r="IS22" s="104"/>
      <c r="IT22" s="104"/>
      <c r="IU22" s="104"/>
      <c r="IV22" s="104"/>
      <c r="IW22" s="104"/>
      <c r="IX22" s="104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  <c r="KP22" s="104"/>
      <c r="KQ22" s="104"/>
      <c r="KR22" s="104"/>
      <c r="KS22" s="104"/>
      <c r="KT22" s="104"/>
      <c r="KU22" s="104"/>
      <c r="KV22" s="104"/>
      <c r="KW22" s="104"/>
      <c r="KX22" s="104"/>
      <c r="KY22" s="104"/>
      <c r="KZ22" s="104"/>
      <c r="LA22" s="104"/>
      <c r="LB22" s="104"/>
      <c r="LC22" s="104"/>
      <c r="LD22" s="104"/>
      <c r="LE22" s="104"/>
      <c r="LF22" s="104"/>
      <c r="LG22" s="104"/>
      <c r="LH22" s="104"/>
      <c r="LI22" s="104"/>
      <c r="LJ22" s="104"/>
      <c r="LK22" s="104"/>
      <c r="LL22" s="104"/>
      <c r="LM22" s="104"/>
      <c r="LN22" s="104"/>
      <c r="LO22" s="104"/>
      <c r="LP22" s="104"/>
      <c r="LQ22" s="104"/>
      <c r="LR22" s="104"/>
      <c r="LS22" s="104"/>
      <c r="LT22" s="104"/>
      <c r="LU22" s="104"/>
      <c r="LV22" s="104"/>
      <c r="LW22" s="104"/>
      <c r="LX22" s="104"/>
      <c r="LY22" s="104"/>
      <c r="LZ22" s="104"/>
      <c r="MA22" s="104"/>
      <c r="MB22" s="104"/>
      <c r="MC22" s="104"/>
      <c r="MD22" s="104"/>
      <c r="ME22" s="104"/>
      <c r="MF22" s="104"/>
      <c r="MG22" s="104"/>
      <c r="MH22" s="104"/>
      <c r="MI22" s="104"/>
      <c r="MJ22" s="104"/>
      <c r="MK22" s="104"/>
      <c r="ML22" s="104"/>
      <c r="MM22" s="104"/>
      <c r="MN22" s="104"/>
      <c r="MO22" s="104"/>
      <c r="MP22" s="104"/>
      <c r="MQ22" s="104"/>
      <c r="MR22" s="104"/>
      <c r="MS22" s="104"/>
      <c r="MT22" s="104"/>
      <c r="MU22" s="104"/>
      <c r="MV22" s="104"/>
      <c r="MW22" s="104"/>
      <c r="MX22" s="104"/>
      <c r="MY22" s="104"/>
      <c r="MZ22" s="104"/>
      <c r="NA22" s="104"/>
      <c r="NB22" s="104"/>
      <c r="NC22" s="104"/>
      <c r="ND22" s="104"/>
      <c r="NE22" s="104"/>
      <c r="NF22" s="104"/>
      <c r="NG22" s="104"/>
      <c r="NH22" s="104"/>
      <c r="NI22" s="104"/>
      <c r="NJ22" s="104"/>
      <c r="NK22" s="104"/>
      <c r="NL22" s="104"/>
      <c r="NM22" s="104"/>
      <c r="NN22" s="104"/>
      <c r="NO22" s="104"/>
      <c r="NP22" s="104"/>
      <c r="NQ22" s="104"/>
      <c r="NR22" s="104"/>
      <c r="NS22" s="104"/>
      <c r="NT22" s="104"/>
      <c r="NU22" s="104"/>
      <c r="NV22" s="104"/>
      <c r="NW22" s="104"/>
      <c r="NX22" s="104"/>
      <c r="NY22" s="104"/>
      <c r="NZ22" s="104"/>
      <c r="OA22" s="104"/>
      <c r="OB22" s="104"/>
      <c r="OC22" s="104"/>
      <c r="OD22" s="104"/>
      <c r="OE22" s="104"/>
      <c r="OF22" s="104"/>
      <c r="OG22" s="104"/>
      <c r="OH22" s="104"/>
      <c r="OI22" s="104"/>
      <c r="OJ22" s="104"/>
      <c r="OK22" s="104"/>
      <c r="OL22" s="104"/>
      <c r="OM22" s="104"/>
      <c r="ON22" s="104"/>
      <c r="OO22" s="104"/>
      <c r="OP22" s="104"/>
      <c r="OQ22" s="104"/>
      <c r="OR22" s="104"/>
      <c r="OS22" s="104"/>
      <c r="OT22" s="104"/>
      <c r="OU22" s="104"/>
      <c r="OV22" s="104"/>
      <c r="OW22" s="104"/>
      <c r="OX22" s="104"/>
      <c r="OY22" s="104"/>
      <c r="OZ22" s="104"/>
      <c r="PA22" s="104"/>
      <c r="PB22" s="104"/>
      <c r="PC22" s="104"/>
      <c r="PD22" s="104"/>
      <c r="PE22" s="104"/>
      <c r="PF22" s="104"/>
      <c r="PG22" s="104"/>
      <c r="PH22" s="104"/>
      <c r="PI22" s="104"/>
      <c r="PJ22" s="104"/>
      <c r="PK22" s="104"/>
      <c r="PL22" s="104"/>
      <c r="PM22" s="104"/>
      <c r="PN22" s="104"/>
      <c r="PO22" s="104"/>
      <c r="PP22" s="104"/>
      <c r="PQ22" s="104"/>
      <c r="PR22" s="104"/>
      <c r="PS22" s="104"/>
      <c r="PT22" s="104"/>
      <c r="PU22" s="104"/>
      <c r="PV22" s="104"/>
      <c r="PW22" s="104"/>
      <c r="PX22" s="104"/>
      <c r="PY22" s="104"/>
      <c r="PZ22" s="104"/>
      <c r="QA22" s="104"/>
      <c r="QB22" s="104"/>
      <c r="QC22" s="104"/>
      <c r="QD22" s="104"/>
      <c r="QE22" s="104"/>
      <c r="QF22" s="104"/>
      <c r="QG22" s="104"/>
      <c r="QH22" s="104"/>
      <c r="QI22" s="104"/>
      <c r="QJ22" s="104"/>
      <c r="QK22" s="104"/>
      <c r="QL22" s="104"/>
      <c r="QM22" s="104"/>
      <c r="QN22" s="104"/>
      <c r="QO22" s="104"/>
      <c r="QP22" s="104"/>
      <c r="QQ22" s="104"/>
      <c r="QR22" s="104"/>
      <c r="QS22" s="104"/>
      <c r="QT22" s="104"/>
      <c r="QU22" s="104"/>
      <c r="QV22" s="104"/>
      <c r="QW22" s="104"/>
      <c r="QX22" s="104"/>
      <c r="QY22" s="104"/>
      <c r="QZ22" s="104"/>
      <c r="RA22" s="104"/>
      <c r="RB22" s="104"/>
      <c r="RC22" s="104"/>
      <c r="RD22" s="104"/>
      <c r="RE22" s="104"/>
      <c r="RF22" s="104"/>
      <c r="RG22" s="104"/>
      <c r="RH22" s="104"/>
      <c r="RI22" s="104"/>
      <c r="RJ22" s="104"/>
      <c r="RK22" s="104"/>
      <c r="RL22" s="104"/>
      <c r="RM22" s="104"/>
      <c r="RN22" s="104"/>
      <c r="RO22" s="104"/>
      <c r="RP22" s="104"/>
      <c r="RQ22" s="104"/>
      <c r="RR22" s="104"/>
      <c r="RS22" s="104"/>
      <c r="RT22" s="104"/>
      <c r="RU22" s="104"/>
      <c r="RV22" s="104"/>
      <c r="RW22" s="104"/>
      <c r="RX22" s="104"/>
      <c r="RY22" s="104"/>
      <c r="RZ22" s="104"/>
      <c r="SA22" s="104"/>
      <c r="SB22" s="104"/>
      <c r="SC22" s="104"/>
      <c r="SD22" s="104"/>
      <c r="SE22" s="104"/>
      <c r="SF22" s="104"/>
      <c r="SG22" s="104"/>
      <c r="SH22" s="104"/>
      <c r="SI22" s="104"/>
      <c r="SJ22" s="104"/>
      <c r="SK22" s="104"/>
      <c r="SL22" s="104"/>
      <c r="SM22" s="104"/>
      <c r="SN22" s="104"/>
      <c r="SO22" s="104"/>
      <c r="SP22" s="104"/>
      <c r="SQ22" s="104"/>
      <c r="SR22" s="104"/>
      <c r="SS22" s="104"/>
      <c r="ST22" s="104"/>
      <c r="SU22" s="104"/>
      <c r="SV22" s="104"/>
      <c r="SW22" s="104"/>
      <c r="SX22" s="104"/>
      <c r="SY22" s="104"/>
      <c r="SZ22" s="104"/>
      <c r="TA22" s="104"/>
      <c r="TB22" s="104"/>
      <c r="TC22" s="104"/>
      <c r="TD22" s="104"/>
      <c r="TE22" s="104"/>
      <c r="TF22" s="104"/>
      <c r="TG22" s="104"/>
      <c r="TH22" s="104"/>
      <c r="TI22" s="104"/>
      <c r="TJ22" s="104"/>
      <c r="TK22" s="104"/>
      <c r="TL22" s="104"/>
      <c r="TM22" s="104"/>
      <c r="TN22" s="104"/>
      <c r="TO22" s="104"/>
      <c r="TP22" s="104"/>
      <c r="TQ22" s="104"/>
      <c r="TR22" s="104"/>
      <c r="TS22" s="104"/>
      <c r="TT22" s="104"/>
      <c r="TU22" s="104"/>
      <c r="TV22" s="104"/>
      <c r="TW22" s="104"/>
      <c r="TX22" s="104"/>
      <c r="TY22" s="104"/>
      <c r="TZ22" s="104"/>
      <c r="UA22" s="104"/>
      <c r="UB22" s="104"/>
      <c r="UC22" s="104"/>
      <c r="UD22" s="104"/>
      <c r="UE22" s="104"/>
      <c r="UF22" s="104"/>
      <c r="UG22" s="104"/>
      <c r="UH22" s="104"/>
      <c r="UI22" s="104"/>
      <c r="UJ22" s="104"/>
      <c r="UK22" s="104"/>
      <c r="UL22" s="104"/>
      <c r="UM22" s="104"/>
      <c r="UN22" s="104"/>
      <c r="UO22" s="104"/>
      <c r="UP22" s="104"/>
      <c r="UQ22" s="104"/>
      <c r="UR22" s="104"/>
      <c r="US22" s="104"/>
      <c r="UT22" s="104"/>
      <c r="UU22" s="104"/>
      <c r="UV22" s="104"/>
      <c r="UW22" s="104"/>
      <c r="UX22" s="104"/>
      <c r="UY22" s="104"/>
      <c r="UZ22" s="104"/>
      <c r="VA22" s="104"/>
      <c r="VB22" s="104"/>
      <c r="VC22" s="104"/>
      <c r="VD22" s="104"/>
      <c r="VE22" s="104"/>
      <c r="VF22" s="104"/>
      <c r="VG22" s="104"/>
      <c r="VH22" s="104"/>
      <c r="VI22" s="104"/>
      <c r="VJ22" s="104"/>
      <c r="VK22" s="104"/>
      <c r="VL22" s="104"/>
      <c r="VM22" s="104"/>
      <c r="VN22" s="104"/>
      <c r="VO22" s="104"/>
      <c r="VP22" s="104"/>
      <c r="VQ22" s="104"/>
      <c r="VR22" s="104"/>
      <c r="VS22" s="104"/>
      <c r="VT22" s="104"/>
      <c r="VU22" s="104"/>
      <c r="VV22" s="104"/>
      <c r="VW22" s="104"/>
      <c r="VX22" s="104"/>
      <c r="VY22" s="104"/>
      <c r="VZ22" s="104"/>
      <c r="WA22" s="104"/>
      <c r="WB22" s="104"/>
      <c r="WC22" s="104"/>
      <c r="WD22" s="104"/>
      <c r="WE22" s="104"/>
      <c r="WF22" s="104"/>
      <c r="WG22" s="104"/>
      <c r="WH22" s="104"/>
      <c r="WI22" s="104"/>
      <c r="WJ22" s="104"/>
      <c r="WK22" s="104"/>
      <c r="WL22" s="104"/>
      <c r="WM22" s="104"/>
      <c r="WN22" s="104"/>
      <c r="WO22" s="104"/>
      <c r="WP22" s="104"/>
      <c r="WQ22" s="104"/>
      <c r="WR22" s="104"/>
      <c r="WS22" s="104"/>
      <c r="WT22" s="104"/>
      <c r="WU22" s="104"/>
      <c r="WV22" s="104"/>
      <c r="WW22" s="104"/>
      <c r="WX22" s="104"/>
      <c r="WY22" s="104"/>
      <c r="WZ22" s="104"/>
      <c r="XA22" s="104"/>
      <c r="XB22" s="104"/>
      <c r="XC22" s="104"/>
      <c r="XD22" s="104"/>
      <c r="XE22" s="104"/>
      <c r="XF22" s="104"/>
      <c r="XG22" s="104"/>
      <c r="XH22" s="104"/>
      <c r="XI22" s="104"/>
      <c r="XJ22" s="104"/>
      <c r="XK22" s="104"/>
      <c r="XL22" s="104"/>
      <c r="XM22" s="104"/>
      <c r="XN22" s="104"/>
      <c r="XO22" s="104"/>
      <c r="XP22" s="104"/>
      <c r="XQ22" s="104"/>
      <c r="XR22" s="104"/>
      <c r="XS22" s="104"/>
      <c r="XT22" s="104"/>
      <c r="XU22" s="104"/>
      <c r="XV22" s="104"/>
      <c r="XW22" s="104"/>
      <c r="XX22" s="104"/>
      <c r="XY22" s="104"/>
      <c r="XZ22" s="104"/>
      <c r="YA22" s="104"/>
      <c r="YB22" s="104"/>
      <c r="YC22" s="104"/>
      <c r="YD22" s="104"/>
      <c r="YE22" s="104"/>
      <c r="YF22" s="104"/>
      <c r="YG22" s="104"/>
      <c r="YH22" s="104"/>
      <c r="YI22" s="104"/>
      <c r="YJ22" s="104"/>
      <c r="YK22" s="104"/>
      <c r="YL22" s="104"/>
      <c r="YM22" s="104"/>
      <c r="YN22" s="104"/>
      <c r="YO22" s="104"/>
      <c r="YP22" s="104"/>
      <c r="YQ22" s="104"/>
      <c r="YR22" s="104"/>
      <c r="YS22" s="104"/>
      <c r="YT22" s="104"/>
      <c r="YU22" s="104"/>
      <c r="YV22" s="104"/>
      <c r="YW22" s="104"/>
      <c r="YX22" s="104"/>
      <c r="YY22" s="104"/>
      <c r="YZ22" s="104"/>
      <c r="ZA22" s="104"/>
      <c r="ZB22" s="104"/>
      <c r="ZC22" s="104"/>
      <c r="ZD22" s="104"/>
      <c r="ZE22" s="104"/>
      <c r="ZF22" s="104"/>
      <c r="ZG22" s="104"/>
      <c r="ZH22" s="104"/>
      <c r="ZI22" s="104"/>
      <c r="ZJ22" s="104"/>
      <c r="ZK22" s="104"/>
      <c r="ZL22" s="104"/>
      <c r="ZM22" s="104"/>
      <c r="ZN22" s="104"/>
      <c r="ZO22" s="104"/>
      <c r="ZP22" s="104"/>
      <c r="ZQ22" s="104"/>
      <c r="ZR22" s="104"/>
      <c r="ZS22" s="104"/>
      <c r="ZT22" s="104"/>
      <c r="ZU22" s="104"/>
      <c r="ZV22" s="104"/>
      <c r="ZW22" s="104"/>
      <c r="ZX22" s="104"/>
      <c r="ZY22" s="104"/>
      <c r="ZZ22" s="104"/>
      <c r="AAA22" s="104"/>
      <c r="AAB22" s="104"/>
      <c r="AAC22" s="104"/>
      <c r="AAD22" s="104"/>
      <c r="AAE22" s="104"/>
      <c r="AAF22" s="104"/>
      <c r="AAG22" s="104"/>
      <c r="AAH22" s="104"/>
      <c r="AAI22" s="104"/>
      <c r="AAJ22" s="104"/>
      <c r="AAK22" s="104"/>
      <c r="AAL22" s="104"/>
      <c r="AAM22" s="104"/>
      <c r="AAN22" s="104"/>
      <c r="AAO22" s="104"/>
      <c r="AAP22" s="104"/>
      <c r="AAQ22" s="104"/>
      <c r="AAR22" s="104"/>
      <c r="AAS22" s="104"/>
      <c r="AAT22" s="104"/>
      <c r="AAU22" s="104"/>
      <c r="AAV22" s="104"/>
      <c r="AAW22" s="104"/>
      <c r="AAX22" s="104"/>
      <c r="AAY22" s="104"/>
      <c r="AAZ22" s="104"/>
      <c r="ABA22" s="104"/>
      <c r="ABB22" s="104"/>
      <c r="ABC22" s="104"/>
      <c r="ABD22" s="104"/>
      <c r="ABE22" s="104"/>
      <c r="ABF22" s="104"/>
      <c r="ABG22" s="104"/>
      <c r="ABH22" s="104"/>
      <c r="ABI22" s="104"/>
      <c r="ABJ22" s="104"/>
      <c r="ABK22" s="104"/>
      <c r="ABL22" s="104"/>
      <c r="ABM22" s="104"/>
      <c r="ABN22" s="104"/>
      <c r="ABO22" s="104"/>
      <c r="ABP22" s="104"/>
      <c r="ABQ22" s="104"/>
      <c r="ABR22" s="104"/>
      <c r="ABS22" s="104"/>
      <c r="ABT22" s="104"/>
      <c r="ABU22" s="104"/>
      <c r="ABV22" s="104"/>
      <c r="ABW22" s="104"/>
      <c r="ABX22" s="104"/>
      <c r="ABY22" s="104"/>
      <c r="ABZ22" s="104"/>
      <c r="ACA22" s="104"/>
      <c r="ACB22" s="104"/>
      <c r="ACC22" s="104"/>
      <c r="ACD22" s="104"/>
      <c r="ACE22" s="104"/>
      <c r="ACF22" s="104"/>
      <c r="ACG22" s="104"/>
      <c r="ACH22" s="104"/>
      <c r="ACI22" s="104"/>
      <c r="ACJ22" s="104"/>
      <c r="ACK22" s="104"/>
      <c r="ACL22" s="104"/>
      <c r="ACM22" s="104"/>
      <c r="ACN22" s="104"/>
      <c r="ACO22" s="104"/>
      <c r="ACP22" s="104"/>
      <c r="ACQ22" s="104"/>
      <c r="ACR22" s="104"/>
      <c r="ACS22" s="104"/>
      <c r="ACT22" s="104"/>
      <c r="ACU22" s="104"/>
      <c r="ACV22" s="104"/>
      <c r="ACW22" s="104"/>
      <c r="ACX22" s="104"/>
      <c r="ACY22" s="104"/>
      <c r="ACZ22" s="104"/>
      <c r="ADA22" s="104"/>
      <c r="ADB22" s="104"/>
      <c r="ADC22" s="104"/>
      <c r="ADD22" s="104"/>
      <c r="ADE22" s="104"/>
      <c r="ADF22" s="104"/>
      <c r="ADG22" s="104"/>
      <c r="ADH22" s="104"/>
      <c r="ADI22" s="104"/>
      <c r="ADJ22" s="104"/>
      <c r="ADK22" s="104"/>
      <c r="ADL22" s="104"/>
      <c r="ADM22" s="104"/>
      <c r="ADN22" s="104"/>
      <c r="ADO22" s="104"/>
      <c r="ADP22" s="104"/>
      <c r="ADQ22" s="104"/>
      <c r="ADR22" s="104"/>
      <c r="ADS22" s="104"/>
      <c r="ADT22" s="104"/>
      <c r="ADU22" s="104"/>
      <c r="ADV22" s="104"/>
      <c r="ADW22" s="104"/>
      <c r="ADX22" s="104"/>
      <c r="ADY22" s="104"/>
      <c r="ADZ22" s="104"/>
      <c r="AEA22" s="104"/>
      <c r="AEB22" s="104"/>
      <c r="AEC22" s="104"/>
      <c r="AED22" s="104"/>
      <c r="AEE22" s="104"/>
      <c r="AEF22" s="104"/>
      <c r="AEG22" s="104"/>
      <c r="AEH22" s="104"/>
      <c r="AEI22" s="104"/>
      <c r="AEJ22" s="104"/>
      <c r="AEK22" s="104"/>
      <c r="AEL22" s="104"/>
      <c r="AEM22" s="104"/>
      <c r="AEN22" s="104"/>
      <c r="AEO22" s="104"/>
      <c r="AEP22" s="104"/>
      <c r="AEQ22" s="104"/>
      <c r="AER22" s="104"/>
      <c r="AES22" s="104"/>
      <c r="AET22" s="104"/>
      <c r="AEU22" s="104"/>
      <c r="AEV22" s="104"/>
      <c r="AEW22" s="104"/>
      <c r="AEX22" s="104"/>
      <c r="AEY22" s="104"/>
      <c r="AEZ22" s="104"/>
      <c r="AFA22" s="104"/>
      <c r="AFB22" s="104"/>
      <c r="AFC22" s="104"/>
      <c r="AFD22" s="104"/>
      <c r="AFE22" s="104"/>
      <c r="AFF22" s="104"/>
      <c r="AFG22" s="104"/>
      <c r="AFH22" s="104"/>
      <c r="AFI22" s="104"/>
      <c r="AFJ22" s="104"/>
      <c r="AFK22" s="104"/>
      <c r="AFL22" s="104"/>
      <c r="AFM22" s="104"/>
      <c r="AFN22" s="104"/>
      <c r="AFO22" s="104"/>
      <c r="AFP22" s="104"/>
      <c r="AFQ22" s="104"/>
      <c r="AFR22" s="104"/>
      <c r="AFS22" s="104"/>
      <c r="AFT22" s="104"/>
      <c r="AFU22" s="104"/>
      <c r="AFV22" s="104"/>
      <c r="AFW22" s="104"/>
      <c r="AFX22" s="104"/>
      <c r="AFY22" s="104"/>
      <c r="AFZ22" s="104"/>
      <c r="AGA22" s="104"/>
      <c r="AGB22" s="104"/>
      <c r="AGC22" s="104"/>
      <c r="AGD22" s="104"/>
      <c r="AGE22" s="104"/>
      <c r="AGF22" s="104"/>
      <c r="AGG22" s="104"/>
      <c r="AGH22" s="104"/>
      <c r="AGI22" s="104"/>
      <c r="AGJ22" s="104"/>
      <c r="AGK22" s="104"/>
      <c r="AGL22" s="104"/>
      <c r="AGM22" s="104"/>
      <c r="AGN22" s="104"/>
      <c r="AGO22" s="104"/>
      <c r="AGP22" s="104"/>
      <c r="AGQ22" s="104"/>
      <c r="AGR22" s="104"/>
      <c r="AGS22" s="104"/>
      <c r="AGT22" s="104"/>
      <c r="AGU22" s="104"/>
      <c r="AGV22" s="104"/>
      <c r="AGW22" s="104"/>
      <c r="AGX22" s="104"/>
      <c r="AGY22" s="104"/>
      <c r="AGZ22" s="104"/>
      <c r="AHA22" s="104"/>
      <c r="AHB22" s="104"/>
      <c r="AHC22" s="104"/>
      <c r="AHD22" s="104"/>
      <c r="AHE22" s="104"/>
      <c r="AHF22" s="104"/>
      <c r="AHG22" s="104"/>
      <c r="AHH22" s="104"/>
      <c r="AHI22" s="104"/>
      <c r="AHJ22" s="104"/>
      <c r="AHK22" s="104"/>
      <c r="AHL22" s="104"/>
      <c r="AHM22" s="104"/>
      <c r="AHN22" s="104"/>
      <c r="AHO22" s="104"/>
      <c r="AHP22" s="104"/>
      <c r="AHQ22" s="104"/>
      <c r="AHR22" s="104"/>
      <c r="AHS22" s="104"/>
      <c r="AHT22" s="104"/>
      <c r="AHU22" s="104"/>
      <c r="AHV22" s="104"/>
      <c r="AHW22" s="104"/>
      <c r="AHX22" s="104"/>
      <c r="AHY22" s="104"/>
      <c r="AHZ22" s="104"/>
      <c r="AIA22" s="104"/>
      <c r="AIB22" s="104"/>
      <c r="AIC22" s="104"/>
      <c r="AID22" s="104"/>
      <c r="AIE22" s="104"/>
      <c r="AIF22" s="104"/>
      <c r="AIG22" s="104"/>
      <c r="AIH22" s="104"/>
      <c r="AII22" s="104"/>
      <c r="AIJ22" s="104"/>
      <c r="AIK22" s="104"/>
      <c r="AIL22" s="104"/>
      <c r="AIM22" s="104"/>
      <c r="AIN22" s="104"/>
      <c r="AIO22" s="104"/>
      <c r="AIP22" s="104"/>
      <c r="AIQ22" s="104"/>
      <c r="AIR22" s="104"/>
      <c r="AIS22" s="104"/>
      <c r="AIT22" s="104"/>
      <c r="AIU22" s="104"/>
      <c r="AIV22" s="104"/>
      <c r="AIW22" s="104"/>
      <c r="AIX22" s="104"/>
      <c r="AIY22" s="104"/>
      <c r="AIZ22" s="104"/>
      <c r="AJA22" s="104"/>
      <c r="AJB22" s="104"/>
      <c r="AJC22" s="104"/>
      <c r="AJD22" s="104"/>
      <c r="AJE22" s="104"/>
      <c r="AJF22" s="104"/>
      <c r="AJG22" s="104"/>
      <c r="AJH22" s="104"/>
      <c r="AJI22" s="104"/>
      <c r="AJJ22" s="104"/>
      <c r="AJK22" s="104"/>
      <c r="AJL22" s="104"/>
      <c r="AJM22" s="104"/>
      <c r="AJN22" s="104"/>
      <c r="AJO22" s="104"/>
      <c r="AJP22" s="104"/>
      <c r="AJQ22" s="104"/>
      <c r="AJR22" s="104"/>
      <c r="AJS22" s="104"/>
      <c r="AJT22" s="104"/>
      <c r="AJU22" s="104"/>
      <c r="AJV22" s="104"/>
      <c r="AJW22" s="104"/>
      <c r="AJX22" s="104"/>
      <c r="AJY22" s="104"/>
      <c r="AJZ22" s="104"/>
      <c r="AKA22" s="104"/>
      <c r="AKB22" s="104"/>
      <c r="AKC22" s="104"/>
      <c r="AKD22" s="104"/>
      <c r="AKE22" s="104"/>
      <c r="AKF22" s="104"/>
      <c r="AKG22" s="104"/>
      <c r="AKH22" s="104"/>
      <c r="AKI22" s="104"/>
      <c r="AKJ22" s="104"/>
      <c r="AKK22" s="104"/>
      <c r="AKL22" s="104"/>
      <c r="AKM22" s="104"/>
      <c r="AKN22" s="104"/>
      <c r="AKO22" s="104"/>
      <c r="AKP22" s="104"/>
      <c r="AKQ22" s="104"/>
      <c r="AKR22" s="104"/>
      <c r="AKS22" s="104"/>
      <c r="AKT22" s="104"/>
      <c r="AKU22" s="104"/>
      <c r="AKV22" s="104"/>
      <c r="AKW22" s="104"/>
      <c r="AKX22" s="104"/>
      <c r="AKY22" s="104"/>
      <c r="AKZ22" s="104"/>
      <c r="ALA22" s="104"/>
      <c r="ALB22" s="104"/>
      <c r="ALC22" s="104"/>
      <c r="ALD22" s="104"/>
      <c r="ALE22" s="104"/>
      <c r="ALF22" s="104"/>
      <c r="ALG22" s="104"/>
      <c r="ALH22" s="104"/>
      <c r="ALI22" s="104"/>
      <c r="ALJ22" s="104"/>
      <c r="ALK22" s="104"/>
      <c r="ALL22" s="104"/>
      <c r="ALM22" s="104"/>
      <c r="ALN22" s="104"/>
      <c r="ALO22" s="104"/>
      <c r="ALP22" s="104"/>
      <c r="ALQ22" s="104"/>
      <c r="ALR22" s="104"/>
      <c r="ALS22" s="104"/>
      <c r="ALT22" s="104"/>
      <c r="ALU22" s="104"/>
      <c r="ALV22" s="104"/>
      <c r="ALW22" s="104"/>
      <c r="ALX22" s="104"/>
      <c r="ALY22" s="104"/>
      <c r="ALZ22" s="104"/>
      <c r="AMA22" s="104"/>
      <c r="AMB22" s="104"/>
      <c r="AMC22" s="104"/>
      <c r="AMD22" s="104"/>
      <c r="AME22" s="104"/>
      <c r="AMF22" s="104"/>
      <c r="XFB22" s="104"/>
      <c r="XFC22" s="104"/>
      <c r="XFD22" s="104"/>
    </row>
    <row r="23" spans="1:1024 16382:16384" ht="18.600000000000001" customHeight="1">
      <c r="A23" s="80">
        <f>(13.33-3.45)/13.33</f>
        <v>0.74118529632408092</v>
      </c>
      <c r="B23" s="445" t="s">
        <v>68</v>
      </c>
      <c r="C23" s="445"/>
      <c r="D23" s="445"/>
      <c r="E23" s="445"/>
      <c r="F23" s="445"/>
      <c r="G23" s="445"/>
      <c r="H23" s="445"/>
      <c r="I23" s="82"/>
    </row>
    <row r="24" spans="1:1024 16382:16384" ht="24" customHeight="1">
      <c r="A24" s="80"/>
      <c r="B24" s="161" t="s">
        <v>28</v>
      </c>
      <c r="C24" s="189" t="s">
        <v>39</v>
      </c>
      <c r="D24" s="162" t="s">
        <v>97</v>
      </c>
      <c r="E24" s="162" t="s">
        <v>40</v>
      </c>
      <c r="F24" s="162" t="s">
        <v>31</v>
      </c>
      <c r="G24" s="162" t="s">
        <v>32</v>
      </c>
      <c r="H24" s="163" t="s">
        <v>53</v>
      </c>
      <c r="J24" s="82"/>
    </row>
    <row r="25" spans="1:1024 16382:16384" ht="15.75">
      <c r="A25" s="80" t="s">
        <v>41</v>
      </c>
      <c r="B25" s="126">
        <f>B5/2+SUM(B9:B19)</f>
        <v>10</v>
      </c>
      <c r="C25" s="127">
        <f>G25/$G$27</f>
        <v>0.21359223300970875</v>
      </c>
      <c r="D25" s="127">
        <f>F25/$F$27</f>
        <v>0.17310621797534967</v>
      </c>
      <c r="E25" s="127">
        <f>H25/$H$27</f>
        <v>0.24466869763899465</v>
      </c>
      <c r="F25" s="128">
        <f>G5/2+SUM(G9:G19)</f>
        <v>6.25</v>
      </c>
      <c r="G25" s="128">
        <f>H5/2+SUM(H9:H19)</f>
        <v>1.1000000000000001</v>
      </c>
      <c r="H25" s="129">
        <f>I5/2+SUM(I9:I19)</f>
        <v>6.4249999999999998</v>
      </c>
      <c r="I25" s="94"/>
      <c r="J25" s="95"/>
    </row>
    <row r="26" spans="1:1024 16382:16384" ht="15.75">
      <c r="A26" s="80" t="s">
        <v>42</v>
      </c>
      <c r="B26" s="126">
        <f>B5/2+B6+B7+B8+B20+B21</f>
        <v>62</v>
      </c>
      <c r="C26" s="127">
        <f>G26/$G$27</f>
        <v>0.78640776699029136</v>
      </c>
      <c r="D26" s="127">
        <f>F26/$F$27</f>
        <v>0.82689378202465025</v>
      </c>
      <c r="E26" s="127">
        <f>H26/$H$27</f>
        <v>0.75533130236100532</v>
      </c>
      <c r="F26" s="128">
        <f>G5/2+G6+G7+G8+G20+G21</f>
        <v>29.855</v>
      </c>
      <c r="G26" s="128">
        <f>H5/2+H6+H7+H8+H20+H21</f>
        <v>4.0500000000000007</v>
      </c>
      <c r="H26" s="129">
        <f>I5/2+I6+I7+I8+I20+I21</f>
        <v>19.835000000000001</v>
      </c>
      <c r="I26" s="80"/>
      <c r="J26" s="95"/>
    </row>
    <row r="27" spans="1:1024 16382:16384" ht="15" customHeight="1" thickBot="1">
      <c r="A27" s="157" t="s">
        <v>43</v>
      </c>
      <c r="B27" s="158">
        <f>SUM(B25:B26)</f>
        <v>72</v>
      </c>
      <c r="C27" s="159"/>
      <c r="D27" s="159"/>
      <c r="E27" s="159"/>
      <c r="F27" s="159">
        <f>SUM(F25:F26)</f>
        <v>36.105000000000004</v>
      </c>
      <c r="G27" s="159">
        <f>SUM(G25:G26)</f>
        <v>5.15</v>
      </c>
      <c r="H27" s="160">
        <f>SUM(H25:H26)</f>
        <v>26.26</v>
      </c>
    </row>
    <row r="28" spans="1:1024 16382:16384" ht="15" customHeight="1" thickBot="1">
      <c r="A28" s="81"/>
      <c r="B28" s="81"/>
      <c r="H28" s="81"/>
    </row>
    <row r="29" spans="1:1024 16382:16384" ht="40.5">
      <c r="A29" s="96" t="s">
        <v>44</v>
      </c>
      <c r="B29" s="97" t="s">
        <v>45</v>
      </c>
      <c r="C29" s="98" t="s">
        <v>302</v>
      </c>
      <c r="D29" s="98" t="s">
        <v>46</v>
      </c>
      <c r="E29" s="449" t="str">
        <f>IF(AND(B30&gt;0.7,C30&lt;=0,D30&lt;=0),"Sostenibilità alta","")</f>
        <v/>
      </c>
      <c r="F29" s="450"/>
      <c r="G29" s="451"/>
    </row>
    <row r="30" spans="1:1024 16382:16384" ht="31.5" customHeight="1">
      <c r="A30" s="99" t="s">
        <v>47</v>
      </c>
      <c r="B30" s="100">
        <f>D26</f>
        <v>0.82689378202465025</v>
      </c>
      <c r="C30" s="100">
        <f>G5/F27</f>
        <v>9.6939482066195806E-2</v>
      </c>
      <c r="D30" s="100">
        <f>G6/F27</f>
        <v>0.37113973133914968</v>
      </c>
      <c r="E30" s="452" t="str">
        <f>IF(AND(B30&gt;=0.4,B30&lt;=0.7,C30&lt;0.25,D30&lt;0.35),"Sostenibilità intermedia","")</f>
        <v/>
      </c>
      <c r="F30" s="453"/>
      <c r="G30" s="454"/>
    </row>
    <row r="31" spans="1:1024 16382:16384" ht="18.75" thickBot="1">
      <c r="A31" s="241">
        <f>IF(E31="Sostenibilità bassa",-1,IF(E29="Sostenibilità alta",1,IF(E30="Sostenibilità intermedia",)))</f>
        <v>-1</v>
      </c>
      <c r="B31" s="101" t="str">
        <f>IF(B30&gt;0.7,"Foraggio &gt;70%",IF(B30&lt;0.4,"Foraggio &lt;40%","Foraggio tra 70 e 40 %"))</f>
        <v>Foraggio &gt;70%</v>
      </c>
      <c r="C31" s="101" t="str">
        <f>IF(C30&gt;0.35,"insilato mais &gt; 25%","Insilato di mais &lt;25%")</f>
        <v>Insilato di mais &lt;25%</v>
      </c>
      <c r="D31" s="101" t="str">
        <f>IF(D30&gt;0.35,"insilato erba &gt; 35%","Insilato erba &lt; 35%")</f>
        <v>insilato erba &gt; 35%</v>
      </c>
      <c r="E31" s="434" t="str">
        <f>IF(OR(C30&gt;0.25, D30&gt;0.35,B30&lt;0.4),"Sostenibilità bassa","")</f>
        <v>Sostenibilità bassa</v>
      </c>
      <c r="F31" s="439"/>
      <c r="G31" s="435"/>
    </row>
    <row r="32" spans="1:1024 16382:16384" ht="15" customHeight="1" thickBot="1">
      <c r="A32" s="90"/>
      <c r="B32" s="90"/>
      <c r="C32" s="90"/>
      <c r="D32" s="90"/>
      <c r="E32" s="90"/>
    </row>
    <row r="33" spans="1:7" ht="70.5" customHeight="1">
      <c r="A33" s="96" t="s">
        <v>318</v>
      </c>
      <c r="B33" s="239" t="s">
        <v>48</v>
      </c>
      <c r="C33" s="239"/>
      <c r="D33" s="240"/>
      <c r="E33" s="446" t="str">
        <f>IF(B34&gt;0.94999,"Sostenibilità alta","")</f>
        <v/>
      </c>
      <c r="F33" s="448"/>
      <c r="G33" s="447"/>
    </row>
    <row r="34" spans="1:7" ht="47.25">
      <c r="A34" s="99" t="s">
        <v>49</v>
      </c>
      <c r="B34" s="238">
        <f>C26</f>
        <v>0.78640776699029136</v>
      </c>
      <c r="C34" s="238"/>
      <c r="D34" s="91"/>
      <c r="E34" s="436" t="str">
        <f>IF(OR(B34&lt;=0.94999,B34&gt;=0.4),"Sostenibilità Intermedia","")</f>
        <v>Sostenibilità Intermedia</v>
      </c>
      <c r="F34" s="437"/>
      <c r="G34" s="438"/>
    </row>
    <row r="35" spans="1:7" ht="15" customHeight="1" thickBot="1">
      <c r="A35" s="241">
        <f>IF(E35="Sostenibilità bassa",-1,IF(E33="Sostenibilità alta",1,IF(E34="Sostenibilità intermedia",0,)))</f>
        <v>0</v>
      </c>
      <c r="B35" s="101"/>
      <c r="C35" s="101"/>
      <c r="D35" s="101"/>
      <c r="E35" s="434" t="str">
        <f>IF(B34&lt;0.4,"Sostenibilità Bassa","")</f>
        <v/>
      </c>
      <c r="F35" s="439"/>
      <c r="G35" s="435"/>
    </row>
    <row r="36" spans="1:7" ht="15" customHeight="1" thickBot="1"/>
    <row r="37" spans="1:7" ht="45" customHeight="1">
      <c r="A37" s="96" t="s">
        <v>319</v>
      </c>
      <c r="B37" s="239" t="s">
        <v>62</v>
      </c>
      <c r="C37" s="239" t="s">
        <v>63</v>
      </c>
      <c r="D37" s="239" t="s">
        <v>50</v>
      </c>
      <c r="E37" s="239" t="s">
        <v>51</v>
      </c>
      <c r="F37" s="446" t="str">
        <f>IF(E38&gt;0.8,"sostenibilità alta","")</f>
        <v/>
      </c>
      <c r="G37" s="447"/>
    </row>
    <row r="38" spans="1:7" ht="51.6" customHeight="1">
      <c r="A38" s="99" t="s">
        <v>52</v>
      </c>
      <c r="B38" s="102">
        <f>H27</f>
        <v>26.26</v>
      </c>
      <c r="C38" s="102">
        <f>SUM(L5:L21)</f>
        <v>16.86</v>
      </c>
      <c r="D38" s="102">
        <f>B38-C38</f>
        <v>9.4000000000000021</v>
      </c>
      <c r="E38" s="242">
        <f>D38/B38</f>
        <v>0.35795887281035804</v>
      </c>
      <c r="F38" s="436" t="str">
        <f>IF(AND(E38&lt;=0.8,E38&gt;=0.4),"Sostenibilità intermedia","")</f>
        <v/>
      </c>
      <c r="G38" s="438"/>
    </row>
    <row r="39" spans="1:7" ht="15" customHeight="1" thickBot="1">
      <c r="A39" s="241">
        <f>IF(F39="Sostenibilità bassa",-1,IF(F37="Sostenibilità alta",1,IF(F38="Sostenibilità intermedia",0,)))</f>
        <v>-1</v>
      </c>
      <c r="B39" s="101"/>
      <c r="C39" s="101"/>
      <c r="D39" s="101"/>
      <c r="E39" s="101"/>
      <c r="F39" s="434" t="str">
        <f>IF(E38&lt;0.4,"Sostenibilità bassa","")</f>
        <v>Sostenibilità bassa</v>
      </c>
      <c r="G39" s="435"/>
    </row>
    <row r="40" spans="1:7" ht="15" customHeight="1">
      <c r="A40" s="90"/>
      <c r="B40" s="90"/>
      <c r="C40" s="90"/>
      <c r="D40" s="90"/>
      <c r="E40" s="90"/>
      <c r="F40" s="90"/>
    </row>
    <row r="41" spans="1:7" ht="15" customHeight="1">
      <c r="A41" s="90"/>
      <c r="B41" s="90"/>
      <c r="C41" s="90"/>
      <c r="D41" s="90"/>
      <c r="E41" s="90"/>
      <c r="F41" s="90"/>
    </row>
    <row r="43" spans="1:7" ht="15" customHeight="1">
      <c r="A43" s="83" t="str">
        <f>IF(F37="SostenibilitàIntermedia",0,"")</f>
        <v/>
      </c>
    </row>
  </sheetData>
  <mergeCells count="13">
    <mergeCell ref="F39:G39"/>
    <mergeCell ref="E34:G34"/>
    <mergeCell ref="E35:G35"/>
    <mergeCell ref="J2:L2"/>
    <mergeCell ref="D4:F4"/>
    <mergeCell ref="B23:H23"/>
    <mergeCell ref="F37:G37"/>
    <mergeCell ref="F38:G38"/>
    <mergeCell ref="E33:G33"/>
    <mergeCell ref="E29:G29"/>
    <mergeCell ref="E30:G30"/>
    <mergeCell ref="E31:G31"/>
    <mergeCell ref="G2:I2"/>
  </mergeCells>
  <pageMargins left="0.74803149606299213" right="0.74803149606299213" top="1.3775590551181101" bottom="1.3775590551181101" header="0.98385826771653495" footer="0.98385826771653495"/>
  <pageSetup paperSize="9" fitToWidth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="85" zoomScaleNormal="85" workbookViewId="0">
      <selection activeCell="K11" sqref="K11:K12"/>
    </sheetView>
  </sheetViews>
  <sheetFormatPr defaultRowHeight="12.75"/>
  <cols>
    <col min="1" max="1" width="43.140625" customWidth="1"/>
    <col min="2" max="2" width="14.140625" customWidth="1"/>
    <col min="3" max="3" width="14" customWidth="1"/>
    <col min="4" max="4" width="12.140625" customWidth="1"/>
    <col min="5" max="5" width="16.42578125" customWidth="1"/>
    <col min="6" max="6" width="12.42578125" customWidth="1"/>
    <col min="7" max="7" width="13.7109375" customWidth="1"/>
    <col min="8" max="8" width="16.28515625" customWidth="1"/>
    <col min="9" max="9" width="10.42578125" customWidth="1"/>
    <col min="10" max="10" width="11" customWidth="1"/>
    <col min="11" max="11" width="32.140625" customWidth="1"/>
  </cols>
  <sheetData>
    <row r="1" spans="1:13" ht="26.25">
      <c r="A1" s="134" t="s">
        <v>246</v>
      </c>
    </row>
    <row r="2" spans="1:13">
      <c r="A2" s="133" t="s">
        <v>69</v>
      </c>
    </row>
    <row r="3" spans="1:13" ht="12.6" customHeight="1">
      <c r="A3" s="462" t="s">
        <v>70</v>
      </c>
      <c r="B3" s="462"/>
      <c r="C3" s="462"/>
      <c r="D3" s="462"/>
      <c r="E3" s="462"/>
      <c r="F3" s="462"/>
      <c r="G3" s="462"/>
      <c r="H3" s="462"/>
      <c r="I3" s="462"/>
    </row>
    <row r="4" spans="1:13" ht="13.5" thickBot="1">
      <c r="A4" s="462"/>
      <c r="B4" s="462"/>
      <c r="C4" s="462"/>
      <c r="D4" s="462"/>
      <c r="E4" s="462"/>
      <c r="F4" s="462"/>
      <c r="G4" s="462"/>
      <c r="H4" s="462"/>
      <c r="I4" s="462"/>
      <c r="K4" s="18"/>
      <c r="L4" s="18"/>
      <c r="M4" s="18"/>
    </row>
    <row r="5" spans="1:13">
      <c r="A5" s="135"/>
      <c r="B5" s="136"/>
      <c r="C5" s="136"/>
      <c r="D5" s="136"/>
      <c r="E5" s="136"/>
      <c r="F5" s="136"/>
      <c r="G5" s="136"/>
      <c r="H5" s="136"/>
      <c r="I5" s="463" t="s">
        <v>71</v>
      </c>
      <c r="J5" s="463"/>
      <c r="K5" s="265"/>
      <c r="L5" s="18"/>
      <c r="M5" s="18"/>
    </row>
    <row r="6" spans="1:13" ht="18" customHeight="1">
      <c r="A6" s="137" t="s">
        <v>77</v>
      </c>
      <c r="B6" s="141" t="s">
        <v>74</v>
      </c>
      <c r="C6" s="141"/>
      <c r="D6" s="141"/>
      <c r="E6" s="141"/>
      <c r="F6" s="141"/>
      <c r="G6" s="141"/>
      <c r="H6" s="141"/>
      <c r="I6" s="142" t="s">
        <v>72</v>
      </c>
      <c r="J6" s="269" t="s">
        <v>73</v>
      </c>
      <c r="K6" s="233">
        <f>IF(K11="Sostenibilità bassa",-1,IF(K7="Sostenibilità alta",1,IF(K9="Sostenibilità intermedia",)))</f>
        <v>1</v>
      </c>
      <c r="L6" s="18"/>
      <c r="M6" s="18"/>
    </row>
    <row r="7" spans="1:13" ht="15" customHeight="1">
      <c r="A7" s="143" t="s">
        <v>90</v>
      </c>
      <c r="B7" s="144"/>
      <c r="C7" s="144"/>
      <c r="D7" s="144"/>
      <c r="E7" s="251"/>
      <c r="F7" s="251"/>
      <c r="G7" s="251"/>
      <c r="H7" s="251"/>
      <c r="I7" s="262">
        <v>1</v>
      </c>
      <c r="J7" s="262">
        <v>0</v>
      </c>
      <c r="K7" s="461" t="str">
        <f>IF(AND(I7=1,I8=0,I9=0,I10=1,I11=0,I12=0),"Sostenibilità alta","")</f>
        <v>Sostenibilità alta</v>
      </c>
      <c r="L7" s="260"/>
      <c r="M7" s="18"/>
    </row>
    <row r="8" spans="1:13" ht="15" customHeight="1">
      <c r="A8" s="143" t="s">
        <v>76</v>
      </c>
      <c r="B8" s="144"/>
      <c r="C8" s="144"/>
      <c r="D8" s="144"/>
      <c r="E8" s="144"/>
      <c r="F8" s="144"/>
      <c r="G8" s="144"/>
      <c r="H8" s="144"/>
      <c r="I8" s="262">
        <v>0</v>
      </c>
      <c r="J8" s="262">
        <v>1</v>
      </c>
      <c r="K8" s="461"/>
      <c r="L8" s="18"/>
      <c r="M8" s="264"/>
    </row>
    <row r="9" spans="1:13" ht="15" customHeight="1">
      <c r="A9" s="464" t="s">
        <v>92</v>
      </c>
      <c r="B9" s="465"/>
      <c r="C9" s="465"/>
      <c r="D9" s="465"/>
      <c r="E9" s="465"/>
      <c r="F9" s="465"/>
      <c r="G9" s="465"/>
      <c r="H9" s="465"/>
      <c r="I9" s="262">
        <v>0</v>
      </c>
      <c r="J9" s="262">
        <v>1</v>
      </c>
      <c r="K9" s="461" t="str">
        <f>IF(AND(I9=0,I10=1,I7+J8+J9+I10+J11+J12&gt;3,I7+J8+J9+I10+J11+J12&lt;6),"Sostenibilità intermedia","")</f>
        <v/>
      </c>
      <c r="L9" s="18"/>
      <c r="M9" s="264"/>
    </row>
    <row r="10" spans="1:13" ht="15" customHeight="1">
      <c r="A10" s="464" t="s">
        <v>211</v>
      </c>
      <c r="B10" s="465"/>
      <c r="C10" s="465"/>
      <c r="D10" s="465"/>
      <c r="E10" s="465"/>
      <c r="F10" s="465"/>
      <c r="G10" s="465"/>
      <c r="H10" s="465"/>
      <c r="I10" s="262">
        <v>1</v>
      </c>
      <c r="J10" s="262">
        <v>0</v>
      </c>
      <c r="K10" s="461"/>
      <c r="L10" s="18"/>
      <c r="M10" s="18"/>
    </row>
    <row r="11" spans="1:13" ht="15" customHeight="1">
      <c r="A11" s="143" t="s">
        <v>93</v>
      </c>
      <c r="B11" s="144"/>
      <c r="C11" s="144"/>
      <c r="D11" s="144"/>
      <c r="E11" s="156"/>
      <c r="F11" s="156"/>
      <c r="G11" s="156"/>
      <c r="H11" s="156"/>
      <c r="I11" s="262">
        <v>0</v>
      </c>
      <c r="J11" s="262">
        <v>1</v>
      </c>
      <c r="K11" s="459" t="str">
        <f>IF(AND(J7=1,J8=0,J9=0,J10=1,J11=0,J12=0),"Sostenibilità bassa","")</f>
        <v/>
      </c>
      <c r="M11" s="18"/>
    </row>
    <row r="12" spans="1:13" ht="18.75" thickBot="1">
      <c r="A12" s="258" t="s">
        <v>205</v>
      </c>
      <c r="B12" s="138"/>
      <c r="C12" s="138"/>
      <c r="D12" s="138"/>
      <c r="E12" s="145"/>
      <c r="F12" s="145"/>
      <c r="G12" s="145"/>
      <c r="H12" s="145"/>
      <c r="I12" s="140">
        <f>IF(B25&gt;38.25,1,0)</f>
        <v>0</v>
      </c>
      <c r="J12" s="139">
        <f>IF(C25&gt;38.25,0,1)</f>
        <v>1</v>
      </c>
      <c r="K12" s="460"/>
      <c r="L12" s="261"/>
      <c r="M12" s="18"/>
    </row>
    <row r="14" spans="1:13" ht="24" thickBot="1">
      <c r="A14" s="146" t="s">
        <v>75</v>
      </c>
      <c r="C14" s="458" t="s">
        <v>83</v>
      </c>
      <c r="D14" s="458"/>
      <c r="E14" s="458"/>
      <c r="F14" s="458"/>
      <c r="G14" s="458"/>
      <c r="H14" s="458"/>
      <c r="I14" s="458"/>
      <c r="J14" s="458"/>
      <c r="K14" s="458"/>
    </row>
    <row r="15" spans="1:13">
      <c r="A15" s="135" t="s">
        <v>87</v>
      </c>
      <c r="B15" s="256">
        <v>0</v>
      </c>
      <c r="C15" s="256">
        <v>0</v>
      </c>
      <c r="D15" s="256">
        <v>1</v>
      </c>
      <c r="E15" s="256">
        <v>0</v>
      </c>
      <c r="F15" s="257">
        <v>0</v>
      </c>
      <c r="G15" s="45"/>
      <c r="H15" s="45"/>
    </row>
    <row r="16" spans="1:13" ht="12.75" customHeight="1">
      <c r="A16" s="149"/>
      <c r="B16" s="148" t="s">
        <v>78</v>
      </c>
      <c r="C16" s="148" t="s">
        <v>86</v>
      </c>
      <c r="D16" s="148" t="s">
        <v>79</v>
      </c>
      <c r="E16" s="148" t="s">
        <v>80</v>
      </c>
      <c r="F16" s="150" t="s">
        <v>81</v>
      </c>
      <c r="G16" s="45" t="s">
        <v>95</v>
      </c>
      <c r="H16" s="45"/>
    </row>
    <row r="17" spans="1:8" ht="12.6" customHeight="1">
      <c r="A17" s="149"/>
      <c r="B17" s="18">
        <v>0.5</v>
      </c>
      <c r="C17" s="18">
        <v>1</v>
      </c>
      <c r="D17" s="18">
        <f>0.3/0.4</f>
        <v>0.74999999999999989</v>
      </c>
      <c r="E17" s="18">
        <f>0.5</f>
        <v>0.5</v>
      </c>
      <c r="F17" s="151">
        <f>0.25/0.4</f>
        <v>0.625</v>
      </c>
      <c r="G17" s="45"/>
      <c r="H17" s="45"/>
    </row>
    <row r="18" spans="1:8" ht="12.6" customHeight="1" thickBot="1">
      <c r="A18" s="152" t="s">
        <v>88</v>
      </c>
      <c r="B18" s="138">
        <f>SUM(B15*B17,C15*C17,D15*D17,E15*E17,F15*F17)</f>
        <v>0.74999999999999989</v>
      </c>
      <c r="C18" s="138"/>
      <c r="D18" s="138"/>
      <c r="E18" s="138"/>
      <c r="F18" s="153"/>
      <c r="G18" s="45"/>
      <c r="H18" s="45"/>
    </row>
    <row r="19" spans="1:8" ht="12.6" customHeight="1">
      <c r="A19" s="18"/>
      <c r="B19" s="18"/>
      <c r="C19" s="18"/>
      <c r="D19" s="18"/>
      <c r="E19" s="18"/>
      <c r="F19" s="18"/>
    </row>
    <row r="20" spans="1:8" ht="27.75" customHeight="1">
      <c r="A20" s="18"/>
      <c r="B20" s="267" t="s">
        <v>209</v>
      </c>
      <c r="C20" s="268" t="s">
        <v>210</v>
      </c>
      <c r="D20" s="266" t="s">
        <v>91</v>
      </c>
    </row>
    <row r="21" spans="1:8" ht="21">
      <c r="A21" s="244" t="s">
        <v>89</v>
      </c>
      <c r="B21" s="254">
        <v>34</v>
      </c>
      <c r="C21" s="254"/>
      <c r="D21" s="255"/>
    </row>
    <row r="22" spans="1:8">
      <c r="A22" s="245" t="s">
        <v>82</v>
      </c>
      <c r="B22" s="252">
        <v>5.0000000000000001E-3</v>
      </c>
      <c r="C22" s="252">
        <v>4.0000000000000001E-3</v>
      </c>
      <c r="D22" s="253">
        <v>3.5000000000000001E-3</v>
      </c>
      <c r="E22" s="147"/>
    </row>
    <row r="23" spans="1:8">
      <c r="A23" s="245" t="s">
        <v>84</v>
      </c>
      <c r="B23" s="154">
        <f>B21*B22*1000*0.3</f>
        <v>51</v>
      </c>
      <c r="C23" s="18">
        <f>C21*C22*1000*0.5</f>
        <v>0</v>
      </c>
      <c r="D23" s="246">
        <f>D21*D22*1000*0.7</f>
        <v>0</v>
      </c>
      <c r="E23" s="18"/>
      <c r="F23" s="18"/>
    </row>
    <row r="24" spans="1:8">
      <c r="A24" s="250" t="s">
        <v>85</v>
      </c>
      <c r="B24" s="243">
        <f>SUM(B23:E23)</f>
        <v>51</v>
      </c>
      <c r="C24" s="18"/>
      <c r="D24" s="246"/>
      <c r="E24" s="18"/>
      <c r="F24" s="18"/>
    </row>
    <row r="25" spans="1:8">
      <c r="A25" s="247" t="s">
        <v>204</v>
      </c>
      <c r="B25" s="259">
        <f>B24*B18</f>
        <v>38.249999999999993</v>
      </c>
      <c r="C25" s="248"/>
      <c r="D25" s="249"/>
    </row>
    <row r="26" spans="1:8">
      <c r="A26" s="155" t="s">
        <v>94</v>
      </c>
      <c r="B26">
        <f>B21*B22*1000</f>
        <v>170</v>
      </c>
      <c r="C26">
        <f t="shared" ref="C26:D26" si="0">C21*C22*1000</f>
        <v>0</v>
      </c>
      <c r="D26">
        <f t="shared" si="0"/>
        <v>0</v>
      </c>
    </row>
  </sheetData>
  <mergeCells count="8">
    <mergeCell ref="C14:K14"/>
    <mergeCell ref="K11:K12"/>
    <mergeCell ref="K9:K10"/>
    <mergeCell ref="K7:K8"/>
    <mergeCell ref="A3:I4"/>
    <mergeCell ref="I5:J5"/>
    <mergeCell ref="A10:H10"/>
    <mergeCell ref="A9:H9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8"/>
  <sheetViews>
    <sheetView topLeftCell="A16" zoomScale="85" zoomScaleNormal="85" workbookViewId="0">
      <selection activeCell="O38" sqref="O38"/>
    </sheetView>
  </sheetViews>
  <sheetFormatPr defaultRowHeight="12.75"/>
  <cols>
    <col min="1" max="1" width="24.42578125" customWidth="1"/>
    <col min="3" max="3" width="37.140625" bestFit="1" customWidth="1"/>
  </cols>
  <sheetData>
    <row r="1" spans="1:6" ht="27" customHeight="1">
      <c r="A1" s="466"/>
      <c r="B1" s="466"/>
      <c r="C1" s="466"/>
      <c r="D1" s="466"/>
      <c r="E1" s="466"/>
      <c r="F1" s="47" t="str">
        <f>'valori e pesi DEXI-INVERSION'!F2</f>
        <v>Azienda1</v>
      </c>
    </row>
    <row r="18" spans="1:1" ht="18">
      <c r="A18" s="41" t="s">
        <v>13</v>
      </c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133"/>
  <sheetViews>
    <sheetView topLeftCell="A107" zoomScale="60" zoomScaleNormal="60" workbookViewId="0">
      <selection activeCell="M27" sqref="M27"/>
    </sheetView>
  </sheetViews>
  <sheetFormatPr defaultColWidth="12" defaultRowHeight="15.75"/>
  <cols>
    <col min="1" max="1" width="36.5703125" style="190" customWidth="1"/>
    <col min="2" max="2" width="24" style="190" customWidth="1"/>
    <col min="3" max="3" width="21.5703125" style="190" customWidth="1"/>
    <col min="4" max="4" width="19.5703125" style="190" bestFit="1" customWidth="1"/>
    <col min="5" max="5" width="18.5703125" style="190" customWidth="1"/>
    <col min="6" max="6" width="13.140625" style="190" bestFit="1" customWidth="1"/>
    <col min="7" max="7" width="24.85546875" style="190" customWidth="1"/>
    <col min="8" max="8" width="12" style="190"/>
    <col min="9" max="9" width="7.85546875" style="190" customWidth="1"/>
    <col min="10" max="10" width="23.28515625" style="190" customWidth="1"/>
    <col min="11" max="11" width="3.28515625" style="190" customWidth="1"/>
    <col min="12" max="12" width="18.7109375" style="190" bestFit="1" customWidth="1"/>
    <col min="13" max="13" width="13.42578125" style="190" customWidth="1"/>
    <col min="14" max="14" width="13.5703125" style="190" customWidth="1"/>
    <col min="15" max="15" width="27.140625" style="190" customWidth="1"/>
    <col min="16" max="16384" width="12" style="190"/>
  </cols>
  <sheetData>
    <row r="1" spans="1:16" ht="16.5" thickBot="1">
      <c r="A1" s="380" t="s">
        <v>98</v>
      </c>
      <c r="C1" s="191" t="s">
        <v>99</v>
      </c>
      <c r="D1" s="191"/>
      <c r="E1" s="193"/>
    </row>
    <row r="2" spans="1:16" ht="33" customHeight="1">
      <c r="A2" s="381" t="s">
        <v>100</v>
      </c>
      <c r="B2" s="382" t="str">
        <f>'valori e pesi DEXI-INVERSION'!F2</f>
        <v>Azienda1</v>
      </c>
      <c r="C2" s="192" t="s">
        <v>101</v>
      </c>
      <c r="D2" s="193"/>
      <c r="E2" s="194"/>
      <c r="F2" s="194"/>
      <c r="G2" s="194"/>
      <c r="H2" s="194"/>
      <c r="I2" s="194"/>
      <c r="J2" s="194"/>
    </row>
    <row r="3" spans="1:16" ht="33" customHeight="1">
      <c r="A3" s="383" t="s">
        <v>316</v>
      </c>
      <c r="B3" s="384">
        <v>20</v>
      </c>
      <c r="C3" s="192" t="s">
        <v>317</v>
      </c>
      <c r="D3" s="193"/>
      <c r="E3" s="193"/>
      <c r="F3" s="193"/>
      <c r="G3" s="193"/>
      <c r="H3" s="193"/>
      <c r="I3" s="193"/>
      <c r="J3" s="193"/>
    </row>
    <row r="4" spans="1:16" ht="31.5">
      <c r="A4" s="385" t="s">
        <v>102</v>
      </c>
      <c r="B4" s="366">
        <v>12000</v>
      </c>
      <c r="C4" s="192" t="s">
        <v>103</v>
      </c>
      <c r="D4" s="193"/>
      <c r="E4" s="193"/>
      <c r="G4" s="194"/>
      <c r="H4" s="194"/>
      <c r="I4" s="194"/>
    </row>
    <row r="5" spans="1:16" ht="16.5" thickBot="1">
      <c r="A5" s="386" t="s">
        <v>104</v>
      </c>
      <c r="B5" s="387">
        <v>2</v>
      </c>
      <c r="C5" s="192" t="s">
        <v>105</v>
      </c>
      <c r="D5" s="193"/>
      <c r="E5" s="193"/>
      <c r="F5" s="194"/>
      <c r="G5" s="194"/>
      <c r="H5" s="194"/>
      <c r="I5" s="194"/>
    </row>
    <row r="6" spans="1:16" ht="16.5" thickBot="1">
      <c r="A6" s="194"/>
      <c r="B6" s="194"/>
      <c r="C6" s="194"/>
      <c r="D6" s="194"/>
      <c r="E6" s="194"/>
      <c r="H6" s="195"/>
      <c r="I6" s="420" t="s">
        <v>106</v>
      </c>
      <c r="J6" s="420"/>
      <c r="K6" s="420"/>
      <c r="L6" s="420"/>
      <c r="M6" s="420"/>
      <c r="N6" s="420"/>
      <c r="O6" s="420"/>
      <c r="P6" s="420"/>
    </row>
    <row r="7" spans="1:16" ht="40.5" customHeight="1" thickBot="1">
      <c r="A7" s="333" t="s">
        <v>306</v>
      </c>
      <c r="B7" s="477" t="s">
        <v>107</v>
      </c>
      <c r="C7" s="477"/>
      <c r="D7" s="478"/>
      <c r="E7" s="194"/>
      <c r="F7" s="342" t="s">
        <v>108</v>
      </c>
      <c r="G7" s="343"/>
      <c r="H7" s="195"/>
      <c r="I7" s="421" t="s">
        <v>109</v>
      </c>
      <c r="J7" s="421"/>
      <c r="K7" s="421"/>
      <c r="L7" s="373" t="s">
        <v>201</v>
      </c>
      <c r="M7" s="194"/>
      <c r="N7" s="194"/>
      <c r="O7" s="237" t="s">
        <v>202</v>
      </c>
      <c r="P7" s="190" t="s">
        <v>203</v>
      </c>
    </row>
    <row r="8" spans="1:16" ht="35.1" customHeight="1">
      <c r="A8" s="197"/>
      <c r="B8" s="361" t="s">
        <v>111</v>
      </c>
      <c r="C8" s="198" t="s">
        <v>112</v>
      </c>
      <c r="D8" s="199" t="s">
        <v>113</v>
      </c>
      <c r="F8" s="479" t="s">
        <v>114</v>
      </c>
      <c r="G8" s="480"/>
      <c r="H8" s="195"/>
      <c r="I8" s="422" t="s">
        <v>120</v>
      </c>
      <c r="J8" s="423"/>
      <c r="K8" s="423"/>
      <c r="L8" s="486">
        <f>(F15)/B3</f>
        <v>1984.5</v>
      </c>
      <c r="M8" s="498" t="s">
        <v>121</v>
      </c>
      <c r="N8" s="498"/>
      <c r="O8" s="234" t="str">
        <f>IF($L8&gt;5000,"Sostenibilità alta","")</f>
        <v/>
      </c>
      <c r="P8" s="413">
        <f>IF(O10="Sostenibilità bassa",-1,IF(O8="Sostenibilità alta",1,IF(O9="Sostenibilità intermedia",)))</f>
        <v>-1</v>
      </c>
    </row>
    <row r="9" spans="1:16" ht="19.5" customHeight="1">
      <c r="A9" s="200" t="s">
        <v>116</v>
      </c>
      <c r="B9" s="363">
        <v>5000</v>
      </c>
      <c r="C9" s="360">
        <v>1</v>
      </c>
      <c r="D9" s="370">
        <f>B9*C9</f>
        <v>5000</v>
      </c>
      <c r="F9" s="484">
        <f>F19-(F22)</f>
        <v>12440</v>
      </c>
      <c r="G9" s="485"/>
      <c r="H9" s="195"/>
      <c r="I9" s="424"/>
      <c r="J9" s="425"/>
      <c r="K9" s="425"/>
      <c r="L9" s="486"/>
      <c r="M9" s="499"/>
      <c r="N9" s="499"/>
      <c r="O9" s="235" t="str">
        <f>IF(AND($L8&lt;=5000,$L8&gt;=3000),"Sostenibilità intermedia","")</f>
        <v/>
      </c>
      <c r="P9" s="414"/>
    </row>
    <row r="10" spans="1:16" ht="19.5" customHeight="1" thickBot="1">
      <c r="A10" s="200" t="s">
        <v>117</v>
      </c>
      <c r="B10" s="363">
        <v>0.4</v>
      </c>
      <c r="C10" s="362">
        <v>1000</v>
      </c>
      <c r="D10" s="370">
        <f t="shared" ref="D10:D14" si="0">B10*C10</f>
        <v>400</v>
      </c>
      <c r="F10" s="371"/>
      <c r="G10" s="372"/>
      <c r="H10" s="195"/>
      <c r="I10" s="426"/>
      <c r="J10" s="427"/>
      <c r="K10" s="427"/>
      <c r="L10" s="487"/>
      <c r="M10" s="500"/>
      <c r="N10" s="500"/>
      <c r="O10" s="236" t="str">
        <f>IF(L8&lt;3000,"Sostenibilità bassa","")</f>
        <v>Sostenibilità bassa</v>
      </c>
      <c r="P10" s="415"/>
    </row>
    <row r="11" spans="1:16" ht="19.5" customHeight="1">
      <c r="A11" s="200" t="s">
        <v>118</v>
      </c>
      <c r="B11" s="363">
        <v>16</v>
      </c>
      <c r="C11" s="201">
        <v>700</v>
      </c>
      <c r="D11" s="370">
        <f t="shared" si="0"/>
        <v>11200</v>
      </c>
      <c r="F11" s="488" t="s">
        <v>119</v>
      </c>
      <c r="G11" s="489"/>
      <c r="H11" s="195"/>
      <c r="I11" s="422" t="s">
        <v>125</v>
      </c>
      <c r="J11" s="423"/>
      <c r="K11" s="423"/>
      <c r="L11" s="486">
        <f>(F15)/B5</f>
        <v>19845</v>
      </c>
      <c r="M11" s="498" t="s">
        <v>307</v>
      </c>
      <c r="N11" s="498"/>
      <c r="O11" s="234" t="str">
        <f>IF($L11&gt;20000,"Sostenibilità alta","")</f>
        <v/>
      </c>
      <c r="P11" s="413">
        <f>IF(O13="Sostenibilità bassa",-1,IF(O11="Sostenibilità alta",1,IF(O12="Sostenibilità intermedia",)))</f>
        <v>0</v>
      </c>
    </row>
    <row r="12" spans="1:16" ht="19.5" customHeight="1">
      <c r="A12" s="200" t="s">
        <v>122</v>
      </c>
      <c r="B12" s="363">
        <v>20</v>
      </c>
      <c r="C12" s="201">
        <v>1000</v>
      </c>
      <c r="D12" s="370">
        <f t="shared" si="0"/>
        <v>20000</v>
      </c>
      <c r="F12" s="484">
        <f>F9-B4</f>
        <v>440</v>
      </c>
      <c r="G12" s="485"/>
      <c r="I12" s="424"/>
      <c r="J12" s="425"/>
      <c r="K12" s="425"/>
      <c r="L12" s="486"/>
      <c r="M12" s="499"/>
      <c r="N12" s="499"/>
      <c r="O12" s="235" t="str">
        <f>IF(AND($L11&lt;=20000,$L11&gt;=15000),"Sostenibilità intermedia","")</f>
        <v>Sostenibilità intermedia</v>
      </c>
      <c r="P12" s="414"/>
    </row>
    <row r="13" spans="1:16" ht="19.5" customHeight="1" thickBot="1">
      <c r="A13" s="200" t="s">
        <v>123</v>
      </c>
      <c r="B13" s="363">
        <v>3000</v>
      </c>
      <c r="C13" s="201">
        <v>1</v>
      </c>
      <c r="D13" s="370">
        <f t="shared" si="0"/>
        <v>3000</v>
      </c>
      <c r="F13" s="371"/>
      <c r="G13" s="372"/>
      <c r="I13" s="426"/>
      <c r="J13" s="427"/>
      <c r="K13" s="427"/>
      <c r="L13" s="487"/>
      <c r="M13" s="500"/>
      <c r="N13" s="500"/>
      <c r="O13" s="236" t="str">
        <f>IF(L11&lt;15000,"Sostenibilità bassa","")</f>
        <v/>
      </c>
      <c r="P13" s="415"/>
    </row>
    <row r="14" spans="1:16" ht="19.5" customHeight="1">
      <c r="A14" s="200" t="s">
        <v>124</v>
      </c>
      <c r="B14" s="363">
        <v>10</v>
      </c>
      <c r="C14" s="201">
        <v>500</v>
      </c>
      <c r="D14" s="370">
        <f t="shared" si="0"/>
        <v>5000</v>
      </c>
      <c r="F14" s="488" t="s">
        <v>305</v>
      </c>
      <c r="G14" s="489"/>
      <c r="I14" s="422" t="s">
        <v>7</v>
      </c>
      <c r="J14" s="423"/>
      <c r="K14" s="481"/>
      <c r="L14" s="498">
        <f>F19/G37</f>
        <v>2.3495409724583474</v>
      </c>
      <c r="M14" s="498" t="s">
        <v>115</v>
      </c>
      <c r="N14" s="498"/>
      <c r="O14" s="234" t="str">
        <f>IF($L14&gt;2,"Sostenibilità alta","")</f>
        <v>Sostenibilità alta</v>
      </c>
      <c r="P14" s="413">
        <f>IF(O16="Sostenibilità bassa",-1,IF(O14="Sostenibilità alta",1,IF(O15="Sostenibilità intermedia",)))</f>
        <v>1</v>
      </c>
    </row>
    <row r="15" spans="1:16" ht="19.5" customHeight="1">
      <c r="A15" s="200" t="s">
        <v>126</v>
      </c>
      <c r="B15" s="363">
        <v>5</v>
      </c>
      <c r="C15" s="201">
        <v>100</v>
      </c>
      <c r="D15" s="370">
        <f>B15*C15</f>
        <v>500</v>
      </c>
      <c r="F15" s="484">
        <f>F19-G37</f>
        <v>39690</v>
      </c>
      <c r="G15" s="485"/>
      <c r="I15" s="424"/>
      <c r="J15" s="425"/>
      <c r="K15" s="482"/>
      <c r="L15" s="499"/>
      <c r="M15" s="499"/>
      <c r="N15" s="499"/>
      <c r="O15" s="235" t="str">
        <f>IF(AND($L14&lt;=2,$L14&gt;=1.2),"Sostenibilità intermedia","")</f>
        <v/>
      </c>
      <c r="P15" s="414"/>
    </row>
    <row r="16" spans="1:16" ht="19.5" customHeight="1" thickBot="1">
      <c r="A16" s="200" t="s">
        <v>127</v>
      </c>
      <c r="B16" s="363"/>
      <c r="C16" s="201"/>
      <c r="D16" s="370"/>
      <c r="F16" s="202"/>
      <c r="G16" s="203"/>
      <c r="I16" s="426"/>
      <c r="J16" s="427"/>
      <c r="K16" s="483"/>
      <c r="L16" s="500"/>
      <c r="M16" s="500"/>
      <c r="N16" s="500"/>
      <c r="O16" s="236" t="str">
        <f>IF(L14&lt;1.2,"Sostenibilità bassa","")</f>
        <v/>
      </c>
      <c r="P16" s="415"/>
    </row>
    <row r="17" spans="1:14" ht="19.5" customHeight="1">
      <c r="A17" s="200" t="s">
        <v>127</v>
      </c>
      <c r="B17" s="363"/>
      <c r="C17" s="201"/>
      <c r="D17" s="370"/>
      <c r="F17" s="496" t="s">
        <v>304</v>
      </c>
      <c r="G17" s="497"/>
      <c r="I17" s="194"/>
      <c r="J17" s="194"/>
      <c r="K17" s="194"/>
      <c r="L17" s="194"/>
      <c r="M17" s="194"/>
      <c r="N17" s="194"/>
    </row>
    <row r="18" spans="1:14" ht="19.5" customHeight="1">
      <c r="A18" s="200" t="s">
        <v>127</v>
      </c>
      <c r="B18" s="363"/>
      <c r="C18" s="201"/>
      <c r="D18" s="370"/>
      <c r="F18" s="496"/>
      <c r="G18" s="497"/>
      <c r="I18" s="194"/>
      <c r="J18" s="194"/>
      <c r="K18" s="194"/>
      <c r="L18" s="194"/>
      <c r="M18" s="194"/>
      <c r="N18" s="194"/>
    </row>
    <row r="19" spans="1:14" ht="19.5" customHeight="1">
      <c r="A19" s="200" t="s">
        <v>127</v>
      </c>
      <c r="B19" s="363"/>
      <c r="C19" s="201"/>
      <c r="D19" s="370"/>
      <c r="F19" s="494">
        <f>D23+B29+E38</f>
        <v>69100</v>
      </c>
      <c r="G19" s="495"/>
      <c r="I19" s="194"/>
      <c r="J19" s="194"/>
      <c r="K19" s="194"/>
      <c r="L19" s="194"/>
      <c r="M19" s="194"/>
      <c r="N19" s="194"/>
    </row>
    <row r="20" spans="1:14" ht="19.5" customHeight="1">
      <c r="A20" s="200" t="s">
        <v>127</v>
      </c>
      <c r="B20" s="363"/>
      <c r="C20" s="201"/>
      <c r="D20" s="370"/>
      <c r="F20" s="204"/>
      <c r="G20" s="205"/>
    </row>
    <row r="21" spans="1:14" ht="19.5" customHeight="1">
      <c r="A21" s="200" t="s">
        <v>127</v>
      </c>
      <c r="B21" s="363"/>
      <c r="C21" s="201"/>
      <c r="D21" s="370"/>
      <c r="F21" s="490" t="s">
        <v>128</v>
      </c>
      <c r="G21" s="491"/>
    </row>
    <row r="22" spans="1:14" ht="19.5" customHeight="1" thickBot="1">
      <c r="A22" s="200" t="s">
        <v>127</v>
      </c>
      <c r="B22" s="363"/>
      <c r="C22" s="334"/>
      <c r="D22" s="370"/>
      <c r="F22" s="492">
        <f>G25+G28+G31+G34+G37</f>
        <v>56660</v>
      </c>
      <c r="G22" s="493"/>
    </row>
    <row r="23" spans="1:14" ht="21.75" thickBot="1">
      <c r="A23" s="206" t="s">
        <v>130</v>
      </c>
      <c r="B23" s="471"/>
      <c r="C23" s="471"/>
      <c r="D23" s="335">
        <f>(SUM(D9:D22))</f>
        <v>45100</v>
      </c>
      <c r="F23" s="195"/>
      <c r="G23" s="351"/>
    </row>
    <row r="24" spans="1:14" ht="16.5" thickBot="1">
      <c r="A24" s="207"/>
      <c r="F24" s="195"/>
      <c r="G24" s="352" t="s">
        <v>129</v>
      </c>
    </row>
    <row r="25" spans="1:14" ht="21">
      <c r="A25" s="208" t="s">
        <v>132</v>
      </c>
      <c r="B25" s="209"/>
      <c r="F25" s="195"/>
      <c r="G25" s="353">
        <f>D81+B89</f>
        <v>2750</v>
      </c>
    </row>
    <row r="26" spans="1:14">
      <c r="A26" s="197" t="s">
        <v>110</v>
      </c>
      <c r="B26" s="199" t="s">
        <v>133</v>
      </c>
      <c r="F26" s="195"/>
      <c r="G26" s="344"/>
    </row>
    <row r="27" spans="1:14" ht="21">
      <c r="A27" s="200" t="s">
        <v>135</v>
      </c>
      <c r="B27" s="363">
        <v>20000</v>
      </c>
      <c r="F27" s="195"/>
      <c r="G27" s="345" t="s">
        <v>131</v>
      </c>
    </row>
    <row r="28" spans="1:14" ht="47.25">
      <c r="A28" s="210" t="s">
        <v>136</v>
      </c>
      <c r="B28" s="363"/>
      <c r="F28" s="195"/>
      <c r="G28" s="354">
        <f>D99</f>
        <v>13500</v>
      </c>
    </row>
    <row r="29" spans="1:14" ht="21.75" thickBot="1">
      <c r="A29" s="206" t="s">
        <v>130</v>
      </c>
      <c r="B29" s="335">
        <f>SUM(B27:B28)</f>
        <v>20000</v>
      </c>
      <c r="F29" s="195"/>
      <c r="G29" s="344"/>
    </row>
    <row r="30" spans="1:14">
      <c r="A30" s="208" t="s">
        <v>138</v>
      </c>
      <c r="B30" s="211"/>
      <c r="C30" s="211"/>
      <c r="D30" s="211"/>
      <c r="E30" s="209"/>
      <c r="F30" s="195"/>
      <c r="G30" s="346" t="s">
        <v>134</v>
      </c>
    </row>
    <row r="31" spans="1:14" ht="21">
      <c r="A31" s="472" t="s">
        <v>139</v>
      </c>
      <c r="B31" s="473" t="s">
        <v>140</v>
      </c>
      <c r="C31" s="473" t="s">
        <v>141</v>
      </c>
      <c r="D31" s="473" t="s">
        <v>142</v>
      </c>
      <c r="E31" s="474"/>
      <c r="F31" s="195"/>
      <c r="G31" s="355">
        <f>B107</f>
        <v>0</v>
      </c>
    </row>
    <row r="32" spans="1:14" ht="21" customHeight="1">
      <c r="A32" s="472"/>
      <c r="B32" s="473"/>
      <c r="C32" s="473"/>
      <c r="D32" s="473"/>
      <c r="E32" s="474"/>
      <c r="F32" s="195"/>
      <c r="G32" s="344"/>
    </row>
    <row r="33" spans="1:8" ht="21" customHeight="1">
      <c r="A33" s="472"/>
      <c r="B33" s="473"/>
      <c r="C33" s="473"/>
      <c r="D33" s="473"/>
      <c r="E33" s="474"/>
      <c r="F33" s="195"/>
      <c r="G33" s="347" t="s">
        <v>137</v>
      </c>
    </row>
    <row r="34" spans="1:8" ht="21">
      <c r="A34" s="472"/>
      <c r="B34" s="473"/>
      <c r="C34" s="473"/>
      <c r="D34" s="473"/>
      <c r="E34" s="474"/>
      <c r="F34" s="195"/>
      <c r="G34" s="356">
        <f>B120+B133</f>
        <v>11000</v>
      </c>
    </row>
    <row r="35" spans="1:8">
      <c r="A35" s="472"/>
      <c r="B35" s="473"/>
      <c r="C35" s="473"/>
      <c r="D35" s="473"/>
      <c r="E35" s="474"/>
      <c r="F35" s="195"/>
      <c r="G35" s="348"/>
    </row>
    <row r="36" spans="1:8">
      <c r="A36" s="472"/>
      <c r="B36" s="473"/>
      <c r="C36" s="473"/>
      <c r="D36" s="473"/>
      <c r="E36" s="474"/>
      <c r="F36" s="195"/>
      <c r="G36" s="349" t="s">
        <v>308</v>
      </c>
    </row>
    <row r="37" spans="1:8" ht="42" customHeight="1" thickBot="1">
      <c r="A37" s="336" t="s">
        <v>143</v>
      </c>
      <c r="B37" s="198" t="s">
        <v>144</v>
      </c>
      <c r="C37" s="198" t="s">
        <v>145</v>
      </c>
      <c r="D37" s="198" t="s">
        <v>146</v>
      </c>
      <c r="E37" s="213" t="s">
        <v>147</v>
      </c>
      <c r="F37" s="195"/>
      <c r="G37" s="350">
        <f>D59</f>
        <v>29410</v>
      </c>
    </row>
    <row r="38" spans="1:8" ht="21.75" thickBot="1">
      <c r="A38" s="374">
        <v>27900</v>
      </c>
      <c r="B38" s="375">
        <v>2200</v>
      </c>
      <c r="C38" s="375">
        <v>22400</v>
      </c>
      <c r="D38" s="375">
        <v>3700</v>
      </c>
      <c r="E38" s="335">
        <f>(A38+B38)-(C38+D38)</f>
        <v>4000</v>
      </c>
    </row>
    <row r="39" spans="1:8" ht="16.5" thickBot="1"/>
    <row r="40" spans="1:8" ht="53.1" customHeight="1">
      <c r="A40" s="214" t="s">
        <v>303</v>
      </c>
      <c r="B40" s="475" t="s">
        <v>148</v>
      </c>
      <c r="C40" s="475"/>
      <c r="D40" s="476"/>
      <c r="H40" s="303"/>
    </row>
    <row r="41" spans="1:8">
      <c r="A41" s="197" t="s">
        <v>110</v>
      </c>
      <c r="B41" s="212" t="s">
        <v>149</v>
      </c>
      <c r="C41" s="212" t="s">
        <v>150</v>
      </c>
      <c r="D41" s="199" t="s">
        <v>113</v>
      </c>
    </row>
    <row r="42" spans="1:8" ht="21">
      <c r="A42" s="200" t="s">
        <v>151</v>
      </c>
      <c r="B42" s="363">
        <v>2000</v>
      </c>
      <c r="C42" s="368">
        <v>1</v>
      </c>
      <c r="D42" s="370">
        <f>B42*C42</f>
        <v>2000</v>
      </c>
    </row>
    <row r="43" spans="1:8" ht="21">
      <c r="A43" s="200" t="s">
        <v>152</v>
      </c>
      <c r="B43" s="363">
        <v>5000</v>
      </c>
      <c r="C43" s="368">
        <v>1</v>
      </c>
      <c r="D43" s="370">
        <f t="shared" ref="D43:D55" si="1">B43*C43</f>
        <v>5000</v>
      </c>
    </row>
    <row r="44" spans="1:8" ht="21">
      <c r="A44" s="200" t="s">
        <v>153</v>
      </c>
      <c r="B44" s="363">
        <v>30</v>
      </c>
      <c r="C44" s="201">
        <v>10</v>
      </c>
      <c r="D44" s="370">
        <f t="shared" si="1"/>
        <v>300</v>
      </c>
    </row>
    <row r="45" spans="1:8" ht="21">
      <c r="A45" s="200" t="s">
        <v>154</v>
      </c>
      <c r="B45" s="363">
        <v>700</v>
      </c>
      <c r="C45" s="201">
        <v>1</v>
      </c>
      <c r="D45" s="370">
        <f t="shared" si="1"/>
        <v>700</v>
      </c>
    </row>
    <row r="46" spans="1:8" ht="21">
      <c r="A46" s="200" t="s">
        <v>155</v>
      </c>
      <c r="B46" s="363">
        <v>80</v>
      </c>
      <c r="C46" s="201">
        <v>12</v>
      </c>
      <c r="D46" s="370">
        <f t="shared" si="1"/>
        <v>960</v>
      </c>
    </row>
    <row r="47" spans="1:8" ht="21">
      <c r="A47" s="200" t="s">
        <v>156</v>
      </c>
      <c r="B47" s="363">
        <v>3000</v>
      </c>
      <c r="C47" s="201">
        <v>1</v>
      </c>
      <c r="D47" s="370">
        <f t="shared" si="1"/>
        <v>3000</v>
      </c>
    </row>
    <row r="48" spans="1:8" ht="21">
      <c r="A48" s="200" t="s">
        <v>157</v>
      </c>
      <c r="B48" s="363">
        <v>750</v>
      </c>
      <c r="C48" s="201">
        <v>1</v>
      </c>
      <c r="D48" s="370">
        <f t="shared" si="1"/>
        <v>750</v>
      </c>
    </row>
    <row r="49" spans="1:4" ht="21">
      <c r="A49" s="200" t="s">
        <v>158</v>
      </c>
      <c r="B49" s="363">
        <v>1200</v>
      </c>
      <c r="C49" s="201">
        <v>1</v>
      </c>
      <c r="D49" s="370">
        <f t="shared" si="1"/>
        <v>1200</v>
      </c>
    </row>
    <row r="50" spans="1:4" ht="21">
      <c r="A50" s="200" t="s">
        <v>159</v>
      </c>
      <c r="B50" s="363"/>
      <c r="C50" s="201">
        <v>1</v>
      </c>
      <c r="D50" s="370">
        <f t="shared" si="1"/>
        <v>0</v>
      </c>
    </row>
    <row r="51" spans="1:4" ht="21">
      <c r="A51" s="200" t="s">
        <v>160</v>
      </c>
      <c r="B51" s="363">
        <v>3000</v>
      </c>
      <c r="C51" s="201">
        <v>1</v>
      </c>
      <c r="D51" s="370">
        <f t="shared" si="1"/>
        <v>3000</v>
      </c>
    </row>
    <row r="52" spans="1:4" ht="21">
      <c r="A52" s="200" t="s">
        <v>312</v>
      </c>
      <c r="B52" s="363">
        <v>7000</v>
      </c>
      <c r="C52" s="201">
        <v>1</v>
      </c>
      <c r="D52" s="370">
        <f t="shared" si="1"/>
        <v>7000</v>
      </c>
    </row>
    <row r="53" spans="1:4" ht="21">
      <c r="A53" s="200" t="s">
        <v>313</v>
      </c>
      <c r="B53" s="363">
        <v>2000</v>
      </c>
      <c r="C53" s="201">
        <v>1</v>
      </c>
      <c r="D53" s="370">
        <f t="shared" si="1"/>
        <v>2000</v>
      </c>
    </row>
    <row r="54" spans="1:4" ht="21">
      <c r="A54" s="200" t="s">
        <v>314</v>
      </c>
      <c r="B54" s="363">
        <v>500</v>
      </c>
      <c r="C54" s="201">
        <v>1</v>
      </c>
      <c r="D54" s="370">
        <f t="shared" si="1"/>
        <v>500</v>
      </c>
    </row>
    <row r="55" spans="1:4" ht="21">
      <c r="A55" s="200" t="s">
        <v>315</v>
      </c>
      <c r="B55" s="363">
        <v>3000</v>
      </c>
      <c r="C55" s="201">
        <v>1</v>
      </c>
      <c r="D55" s="369">
        <f t="shared" si="1"/>
        <v>3000</v>
      </c>
    </row>
    <row r="56" spans="1:4" ht="21">
      <c r="A56" s="200"/>
      <c r="B56" s="363"/>
      <c r="C56" s="201"/>
      <c r="D56" s="369"/>
    </row>
    <row r="57" spans="1:4" ht="21">
      <c r="A57" s="200"/>
      <c r="B57" s="363"/>
      <c r="C57" s="201"/>
      <c r="D57" s="369"/>
    </row>
    <row r="58" spans="1:4" ht="21">
      <c r="A58" s="200"/>
      <c r="B58" s="363"/>
      <c r="C58" s="201"/>
      <c r="D58" s="369"/>
    </row>
    <row r="59" spans="1:4" ht="21.75" thickBot="1">
      <c r="A59" s="215" t="s">
        <v>130</v>
      </c>
      <c r="B59" s="216"/>
      <c r="C59" s="216"/>
      <c r="D59" s="337">
        <f>SUM(D42:D58)</f>
        <v>29410</v>
      </c>
    </row>
    <row r="60" spans="1:4" ht="16.5" thickBot="1"/>
    <row r="61" spans="1:4" ht="29.45" customHeight="1">
      <c r="A61" s="217" t="s">
        <v>161</v>
      </c>
      <c r="B61" s="467" t="s">
        <v>162</v>
      </c>
      <c r="C61" s="467"/>
      <c r="D61" s="468"/>
    </row>
    <row r="62" spans="1:4" ht="23.1" customHeight="1">
      <c r="A62" s="200" t="s">
        <v>110</v>
      </c>
      <c r="B62" s="197" t="s">
        <v>163</v>
      </c>
      <c r="C62" s="197" t="s">
        <v>164</v>
      </c>
      <c r="D62" s="369" t="s">
        <v>113</v>
      </c>
    </row>
    <row r="63" spans="1:4" ht="21">
      <c r="A63" s="200" t="s">
        <v>165</v>
      </c>
      <c r="B63" s="363">
        <v>50000</v>
      </c>
      <c r="C63" s="201">
        <v>30</v>
      </c>
      <c r="D63" s="370">
        <f>B63/C63</f>
        <v>1666.6666666666667</v>
      </c>
    </row>
    <row r="64" spans="1:4" ht="21">
      <c r="A64" s="200" t="s">
        <v>166</v>
      </c>
      <c r="B64" s="363">
        <v>5000</v>
      </c>
      <c r="C64" s="201">
        <v>15</v>
      </c>
      <c r="D64" s="370">
        <f t="shared" ref="D64:D77" si="2">B64/C64</f>
        <v>333.33333333333331</v>
      </c>
    </row>
    <row r="65" spans="1:8" ht="21">
      <c r="A65" s="200" t="s">
        <v>167</v>
      </c>
      <c r="B65" s="363"/>
      <c r="C65" s="201">
        <v>20</v>
      </c>
      <c r="D65" s="370">
        <f t="shared" si="2"/>
        <v>0</v>
      </c>
    </row>
    <row r="66" spans="1:8" ht="21">
      <c r="A66" s="200" t="s">
        <v>168</v>
      </c>
      <c r="B66" s="363"/>
      <c r="C66" s="201">
        <v>20</v>
      </c>
      <c r="D66" s="370">
        <f t="shared" si="2"/>
        <v>0</v>
      </c>
    </row>
    <row r="67" spans="1:8" ht="21">
      <c r="A67" s="200" t="s">
        <v>169</v>
      </c>
      <c r="B67" s="363"/>
      <c r="C67" s="201">
        <v>30</v>
      </c>
      <c r="D67" s="370">
        <f t="shared" si="2"/>
        <v>0</v>
      </c>
    </row>
    <row r="68" spans="1:8" ht="21">
      <c r="A68" s="200" t="s">
        <v>170</v>
      </c>
      <c r="B68" s="363"/>
      <c r="C68" s="201">
        <v>20</v>
      </c>
      <c r="D68" s="370">
        <f t="shared" si="2"/>
        <v>0</v>
      </c>
    </row>
    <row r="69" spans="1:8" ht="21">
      <c r="A69" s="200" t="s">
        <v>171</v>
      </c>
      <c r="B69" s="363"/>
      <c r="C69" s="201">
        <v>30</v>
      </c>
      <c r="D69" s="370">
        <f t="shared" si="2"/>
        <v>0</v>
      </c>
      <c r="H69"/>
    </row>
    <row r="70" spans="1:8" ht="21">
      <c r="A70" s="200" t="s">
        <v>172</v>
      </c>
      <c r="B70" s="363"/>
      <c r="C70" s="201">
        <v>30</v>
      </c>
      <c r="D70" s="370">
        <f t="shared" si="2"/>
        <v>0</v>
      </c>
    </row>
    <row r="71" spans="1:8" ht="21">
      <c r="A71" s="200" t="s">
        <v>173</v>
      </c>
      <c r="B71" s="363">
        <v>5000</v>
      </c>
      <c r="C71" s="201">
        <v>20</v>
      </c>
      <c r="D71" s="370">
        <f t="shared" si="2"/>
        <v>250</v>
      </c>
    </row>
    <row r="72" spans="1:8" ht="21">
      <c r="A72" s="200" t="s">
        <v>174</v>
      </c>
      <c r="B72" s="363"/>
      <c r="C72" s="201">
        <v>30</v>
      </c>
      <c r="D72" s="370">
        <f t="shared" si="2"/>
        <v>0</v>
      </c>
    </row>
    <row r="73" spans="1:8" ht="21">
      <c r="A73" s="200" t="s">
        <v>174</v>
      </c>
      <c r="B73" s="363"/>
      <c r="C73" s="201">
        <v>20</v>
      </c>
      <c r="D73" s="370">
        <f t="shared" si="2"/>
        <v>0</v>
      </c>
    </row>
    <row r="74" spans="1:8" ht="21">
      <c r="A74" s="200" t="s">
        <v>174</v>
      </c>
      <c r="B74" s="363"/>
      <c r="C74" s="201">
        <v>15</v>
      </c>
      <c r="D74" s="370">
        <f t="shared" si="2"/>
        <v>0</v>
      </c>
    </row>
    <row r="75" spans="1:8" ht="21">
      <c r="A75" s="200" t="s">
        <v>174</v>
      </c>
      <c r="B75" s="363"/>
      <c r="C75" s="201">
        <v>20</v>
      </c>
      <c r="D75" s="370">
        <f t="shared" si="2"/>
        <v>0</v>
      </c>
    </row>
    <row r="76" spans="1:8" ht="21">
      <c r="A76" s="200" t="s">
        <v>174</v>
      </c>
      <c r="B76" s="363"/>
      <c r="C76" s="201"/>
      <c r="D76" s="370"/>
    </row>
    <row r="77" spans="1:8" ht="21">
      <c r="A77" s="200" t="s">
        <v>174</v>
      </c>
      <c r="B77" s="363"/>
      <c r="C77" s="201">
        <v>15</v>
      </c>
      <c r="D77" s="370">
        <f t="shared" si="2"/>
        <v>0</v>
      </c>
    </row>
    <row r="78" spans="1:8" ht="21">
      <c r="A78" s="200" t="s">
        <v>174</v>
      </c>
      <c r="B78" s="363"/>
      <c r="C78" s="201"/>
      <c r="D78" s="370"/>
    </row>
    <row r="79" spans="1:8" ht="21">
      <c r="A79" s="200" t="s">
        <v>174</v>
      </c>
      <c r="B79" s="363"/>
      <c r="C79" s="201">
        <v>5</v>
      </c>
      <c r="D79" s="370">
        <f>B79/C79</f>
        <v>0</v>
      </c>
    </row>
    <row r="80" spans="1:8" ht="21">
      <c r="A80" s="200" t="s">
        <v>174</v>
      </c>
      <c r="B80" s="363"/>
      <c r="C80" s="201"/>
      <c r="D80" s="370"/>
    </row>
    <row r="81" spans="1:5" ht="21.75" thickBot="1">
      <c r="A81" s="220" t="s">
        <v>130</v>
      </c>
      <c r="B81" s="221"/>
      <c r="C81" s="221"/>
      <c r="D81" s="338">
        <f>SUM(D63:D80)</f>
        <v>2250</v>
      </c>
    </row>
    <row r="82" spans="1:5" ht="16.5" thickBot="1">
      <c r="A82" s="207"/>
      <c r="B82" s="222"/>
      <c r="C82" s="222"/>
      <c r="D82" s="222"/>
    </row>
    <row r="83" spans="1:5">
      <c r="A83" s="217" t="s">
        <v>175</v>
      </c>
      <c r="B83" s="219" t="s">
        <v>176</v>
      </c>
      <c r="C83" s="196"/>
      <c r="D83" s="196"/>
      <c r="E83" s="196"/>
    </row>
    <row r="84" spans="1:5">
      <c r="A84" s="197" t="s">
        <v>110</v>
      </c>
      <c r="B84" s="199" t="s">
        <v>177</v>
      </c>
    </row>
    <row r="85" spans="1:5" ht="21">
      <c r="A85" s="200" t="s">
        <v>178</v>
      </c>
      <c r="B85" s="366"/>
    </row>
    <row r="86" spans="1:5" ht="21">
      <c r="A86" s="200" t="s">
        <v>179</v>
      </c>
      <c r="B86" s="366">
        <v>500</v>
      </c>
    </row>
    <row r="87" spans="1:5" ht="21">
      <c r="A87" s="200" t="s">
        <v>180</v>
      </c>
      <c r="B87" s="366"/>
    </row>
    <row r="88" spans="1:5" ht="21">
      <c r="A88" s="223" t="s">
        <v>180</v>
      </c>
      <c r="B88" s="366"/>
    </row>
    <row r="89" spans="1:5" ht="21.75" thickBot="1">
      <c r="A89" s="220" t="s">
        <v>130</v>
      </c>
      <c r="B89" s="338">
        <f>SUM(B85:B88)</f>
        <v>500</v>
      </c>
    </row>
    <row r="90" spans="1:5" ht="16.5" thickBot="1"/>
    <row r="91" spans="1:5">
      <c r="A91" s="224" t="s">
        <v>131</v>
      </c>
      <c r="B91" s="218" t="s">
        <v>181</v>
      </c>
      <c r="C91" s="218"/>
      <c r="D91" s="219"/>
      <c r="E91" s="193"/>
    </row>
    <row r="92" spans="1:5">
      <c r="A92" s="197" t="s">
        <v>110</v>
      </c>
      <c r="B92" s="212" t="s">
        <v>182</v>
      </c>
      <c r="C92" s="212" t="s">
        <v>183</v>
      </c>
      <c r="D92" s="199" t="s">
        <v>184</v>
      </c>
    </row>
    <row r="93" spans="1:5" ht="21">
      <c r="A93" s="200" t="s">
        <v>185</v>
      </c>
      <c r="B93" s="363">
        <v>15</v>
      </c>
      <c r="C93" s="201">
        <v>600</v>
      </c>
      <c r="D93" s="370">
        <f>B93*C93</f>
        <v>9000</v>
      </c>
    </row>
    <row r="94" spans="1:5" ht="21">
      <c r="A94" s="200" t="s">
        <v>186</v>
      </c>
      <c r="B94" s="363">
        <v>15</v>
      </c>
      <c r="C94" s="201">
        <v>300</v>
      </c>
      <c r="D94" s="370">
        <f>B94*C94</f>
        <v>4500</v>
      </c>
    </row>
    <row r="95" spans="1:5" ht="21">
      <c r="A95" s="200"/>
      <c r="B95" s="363"/>
      <c r="C95" s="201"/>
      <c r="D95" s="370"/>
    </row>
    <row r="96" spans="1:5" ht="21">
      <c r="A96" s="200"/>
      <c r="B96" s="363"/>
      <c r="C96" s="201"/>
      <c r="D96" s="370"/>
    </row>
    <row r="97" spans="1:8" ht="21">
      <c r="A97" s="200"/>
      <c r="B97" s="363"/>
      <c r="C97" s="201"/>
      <c r="D97" s="370"/>
    </row>
    <row r="98" spans="1:8" ht="21">
      <c r="A98" s="200"/>
      <c r="B98" s="363"/>
      <c r="C98" s="201"/>
      <c r="D98" s="370"/>
    </row>
    <row r="99" spans="1:8" ht="21.75" thickBot="1">
      <c r="A99" s="225" t="s">
        <v>130</v>
      </c>
      <c r="B99" s="226"/>
      <c r="C99" s="226"/>
      <c r="D99" s="339">
        <f>SUM(D93:D98)</f>
        <v>13500</v>
      </c>
    </row>
    <row r="100" spans="1:8" ht="16.5" thickBot="1"/>
    <row r="101" spans="1:8">
      <c r="A101" s="227" t="s">
        <v>187</v>
      </c>
      <c r="B101" s="219" t="s">
        <v>188</v>
      </c>
      <c r="C101" s="196"/>
    </row>
    <row r="102" spans="1:8">
      <c r="A102" s="197" t="s">
        <v>110</v>
      </c>
      <c r="B102" s="199" t="s">
        <v>189</v>
      </c>
    </row>
    <row r="103" spans="1:8" ht="21">
      <c r="A103" s="228" t="s">
        <v>190</v>
      </c>
      <c r="B103" s="366"/>
    </row>
    <row r="104" spans="1:8" ht="21">
      <c r="A104" s="228" t="s">
        <v>191</v>
      </c>
      <c r="B104" s="366"/>
    </row>
    <row r="105" spans="1:8" ht="21">
      <c r="A105" s="228" t="s">
        <v>191</v>
      </c>
      <c r="B105" s="366"/>
    </row>
    <row r="106" spans="1:8" ht="21">
      <c r="A106" s="228" t="s">
        <v>191</v>
      </c>
      <c r="B106" s="366"/>
    </row>
    <row r="107" spans="1:8" ht="21.75" thickBot="1">
      <c r="A107" s="229" t="s">
        <v>130</v>
      </c>
      <c r="B107" s="340">
        <f>SUM(B103:B106)</f>
        <v>0</v>
      </c>
    </row>
    <row r="108" spans="1:8" ht="21.75" thickBot="1">
      <c r="A108" s="357"/>
      <c r="B108" s="358"/>
    </row>
    <row r="109" spans="1:8" ht="16.5" thickBot="1">
      <c r="A109" s="469" t="s">
        <v>192</v>
      </c>
      <c r="B109" s="219" t="s">
        <v>309</v>
      </c>
      <c r="C109" s="219"/>
      <c r="D109" s="193"/>
      <c r="E109" s="193"/>
      <c r="F109" s="193"/>
      <c r="G109" s="193"/>
      <c r="H109" s="193"/>
    </row>
    <row r="110" spans="1:8">
      <c r="A110" s="470"/>
      <c r="B110" s="219" t="s">
        <v>310</v>
      </c>
      <c r="C110" s="219"/>
      <c r="D110" s="196"/>
    </row>
    <row r="111" spans="1:8" ht="29.45" customHeight="1">
      <c r="A111" s="197" t="s">
        <v>110</v>
      </c>
      <c r="B111" s="365" t="s">
        <v>193</v>
      </c>
      <c r="C111" s="359" t="s">
        <v>311</v>
      </c>
      <c r="D111" s="231"/>
      <c r="E111" s="231"/>
    </row>
    <row r="112" spans="1:8" ht="21">
      <c r="A112" s="200" t="s">
        <v>194</v>
      </c>
      <c r="B112" s="364">
        <f>C112*0.02</f>
        <v>1000</v>
      </c>
      <c r="C112" s="367">
        <v>50000</v>
      </c>
      <c r="D112" s="194"/>
    </row>
    <row r="113" spans="1:4" ht="21">
      <c r="A113" s="200" t="s">
        <v>195</v>
      </c>
      <c r="B113" s="363">
        <f t="shared" ref="B113:B119" si="3">C113*0.02</f>
        <v>2000</v>
      </c>
      <c r="C113" s="366">
        <v>100000</v>
      </c>
      <c r="D113" s="194"/>
    </row>
    <row r="114" spans="1:4" ht="21">
      <c r="A114" s="200" t="s">
        <v>196</v>
      </c>
      <c r="B114" s="363">
        <f t="shared" si="3"/>
        <v>0</v>
      </c>
      <c r="C114" s="366"/>
      <c r="D114" s="194"/>
    </row>
    <row r="115" spans="1:4" ht="21">
      <c r="A115" s="200" t="s">
        <v>191</v>
      </c>
      <c r="B115" s="363">
        <f t="shared" si="3"/>
        <v>0</v>
      </c>
      <c r="C115" s="366"/>
      <c r="D115" s="194"/>
    </row>
    <row r="116" spans="1:4" ht="21">
      <c r="A116" s="200" t="s">
        <v>191</v>
      </c>
      <c r="B116" s="363">
        <f t="shared" si="3"/>
        <v>0</v>
      </c>
      <c r="C116" s="366"/>
      <c r="D116" s="194"/>
    </row>
    <row r="117" spans="1:4" ht="21">
      <c r="A117" s="200" t="s">
        <v>191</v>
      </c>
      <c r="B117" s="363">
        <f t="shared" si="3"/>
        <v>0</v>
      </c>
      <c r="C117" s="366"/>
      <c r="D117" s="194"/>
    </row>
    <row r="118" spans="1:4" ht="21">
      <c r="A118" s="200" t="s">
        <v>191</v>
      </c>
      <c r="B118" s="363">
        <f t="shared" si="3"/>
        <v>0</v>
      </c>
      <c r="C118" s="366"/>
      <c r="D118" s="194"/>
    </row>
    <row r="119" spans="1:4" ht="21.75" thickBot="1">
      <c r="A119" s="200" t="s">
        <v>191</v>
      </c>
      <c r="B119" s="363">
        <f t="shared" si="3"/>
        <v>0</v>
      </c>
      <c r="C119" s="377"/>
      <c r="D119" s="194"/>
    </row>
    <row r="120" spans="1:4" ht="21.75" thickBot="1">
      <c r="A120" s="232" t="s">
        <v>130</v>
      </c>
      <c r="B120" s="376">
        <f>SUM(B111:B119)</f>
        <v>3000</v>
      </c>
      <c r="C120" s="378"/>
    </row>
    <row r="121" spans="1:4" ht="16.5" thickBot="1">
      <c r="A121" s="194"/>
      <c r="B121" s="194"/>
      <c r="C121" s="194"/>
    </row>
    <row r="122" spans="1:4">
      <c r="A122" s="230" t="s">
        <v>197</v>
      </c>
      <c r="B122" s="219" t="s">
        <v>198</v>
      </c>
      <c r="C122" s="196"/>
    </row>
    <row r="123" spans="1:4">
      <c r="A123" s="197" t="s">
        <v>110</v>
      </c>
      <c r="B123" s="199" t="s">
        <v>199</v>
      </c>
    </row>
    <row r="124" spans="1:4" ht="21">
      <c r="A124" s="200" t="s">
        <v>200</v>
      </c>
      <c r="B124" s="379">
        <v>8000</v>
      </c>
      <c r="C124" s="202"/>
    </row>
    <row r="125" spans="1:4" ht="21">
      <c r="A125" s="200" t="s">
        <v>196</v>
      </c>
      <c r="B125" s="379">
        <v>0</v>
      </c>
      <c r="C125" s="202"/>
    </row>
    <row r="126" spans="1:4" ht="21">
      <c r="A126" s="200" t="s">
        <v>191</v>
      </c>
      <c r="B126" s="366"/>
    </row>
    <row r="127" spans="1:4" ht="21">
      <c r="A127" s="200" t="s">
        <v>191</v>
      </c>
      <c r="B127" s="379"/>
      <c r="C127" s="202"/>
    </row>
    <row r="128" spans="1:4" ht="21">
      <c r="A128" s="200" t="s">
        <v>191</v>
      </c>
      <c r="B128" s="379"/>
      <c r="C128" s="202"/>
    </row>
    <row r="129" spans="1:3" ht="21">
      <c r="A129" s="200" t="s">
        <v>191</v>
      </c>
      <c r="B129" s="379"/>
      <c r="C129" s="202"/>
    </row>
    <row r="130" spans="1:3" ht="21">
      <c r="A130" s="200" t="s">
        <v>191</v>
      </c>
      <c r="B130" s="379"/>
      <c r="C130" s="202"/>
    </row>
    <row r="131" spans="1:3" ht="21">
      <c r="A131" s="200" t="s">
        <v>191</v>
      </c>
      <c r="B131" s="379"/>
      <c r="C131" s="202"/>
    </row>
    <row r="132" spans="1:3" ht="21">
      <c r="A132" s="200" t="s">
        <v>191</v>
      </c>
      <c r="B132" s="366"/>
    </row>
    <row r="133" spans="1:3" ht="21.75" thickBot="1">
      <c r="A133" s="232" t="s">
        <v>130</v>
      </c>
      <c r="B133" s="341">
        <f>SUM(B124:B132)</f>
        <v>8000</v>
      </c>
    </row>
  </sheetData>
  <mergeCells count="34">
    <mergeCell ref="P8:P10"/>
    <mergeCell ref="P11:P13"/>
    <mergeCell ref="P14:P16"/>
    <mergeCell ref="I6:P6"/>
    <mergeCell ref="M8:N10"/>
    <mergeCell ref="M11:N13"/>
    <mergeCell ref="L11:L13"/>
    <mergeCell ref="I11:K13"/>
    <mergeCell ref="M14:N16"/>
    <mergeCell ref="L14:L16"/>
    <mergeCell ref="L8:L10"/>
    <mergeCell ref="I8:K10"/>
    <mergeCell ref="F14:G14"/>
    <mergeCell ref="F15:G15"/>
    <mergeCell ref="F21:G21"/>
    <mergeCell ref="F11:G11"/>
    <mergeCell ref="F12:G12"/>
    <mergeCell ref="F19:G19"/>
    <mergeCell ref="F17:G18"/>
    <mergeCell ref="E31:E36"/>
    <mergeCell ref="B40:D40"/>
    <mergeCell ref="B7:D7"/>
    <mergeCell ref="I7:K7"/>
    <mergeCell ref="F8:G8"/>
    <mergeCell ref="I14:K16"/>
    <mergeCell ref="F9:G9"/>
    <mergeCell ref="F22:G22"/>
    <mergeCell ref="B61:D61"/>
    <mergeCell ref="A109:A110"/>
    <mergeCell ref="B23:C23"/>
    <mergeCell ref="A31:A36"/>
    <mergeCell ref="B31:B36"/>
    <mergeCell ref="C31:C36"/>
    <mergeCell ref="D31:D36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"/>
  <sheetViews>
    <sheetView topLeftCell="A19" zoomScale="70" zoomScaleNormal="70" workbookViewId="0">
      <selection activeCell="G61" sqref="G61"/>
    </sheetView>
  </sheetViews>
  <sheetFormatPr defaultRowHeight="12.75"/>
  <cols>
    <col min="1" max="1" width="24.42578125" customWidth="1"/>
    <col min="3" max="3" width="37.140625" bestFit="1" customWidth="1"/>
  </cols>
  <sheetData>
    <row r="1" spans="1:6" ht="27" customHeight="1">
      <c r="A1" s="466"/>
      <c r="B1" s="466"/>
      <c r="C1" s="466"/>
      <c r="D1" s="466"/>
      <c r="E1" s="466"/>
      <c r="F1" s="47" t="str">
        <f>'valori e pesi DEXI-INVERSION'!F2</f>
        <v>Azienda1</v>
      </c>
    </row>
    <row r="18" spans="1:1" ht="18">
      <c r="A18" s="41" t="s">
        <v>13</v>
      </c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zoomScale="70" zoomScaleNormal="70" workbookViewId="0">
      <selection activeCell="A18" sqref="A18"/>
    </sheetView>
  </sheetViews>
  <sheetFormatPr defaultRowHeight="12.75"/>
  <cols>
    <col min="1" max="1" width="24.42578125" customWidth="1"/>
    <col min="3" max="3" width="37.140625" bestFit="1" customWidth="1"/>
  </cols>
  <sheetData>
    <row r="1" spans="1:6" ht="27" customHeight="1">
      <c r="A1" s="466"/>
      <c r="B1" s="466"/>
      <c r="C1" s="466"/>
      <c r="D1" s="466"/>
      <c r="E1" s="466"/>
      <c r="F1" s="47" t="str">
        <f>'valori e pesi DEXI-INVERSION'!F2</f>
        <v>Azienda1</v>
      </c>
    </row>
    <row r="18" spans="1:1" ht="18">
      <c r="A18" s="41" t="s">
        <v>13</v>
      </c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8"/>
  <sheetViews>
    <sheetView zoomScale="40" zoomScaleNormal="40" workbookViewId="0">
      <selection activeCell="AJ20" sqref="AJ20"/>
    </sheetView>
  </sheetViews>
  <sheetFormatPr defaultRowHeight="12.75"/>
  <cols>
    <col min="1" max="1" width="24.42578125" customWidth="1"/>
    <col min="3" max="3" width="37.140625" bestFit="1" customWidth="1"/>
  </cols>
  <sheetData>
    <row r="1" spans="1:6" ht="27" customHeight="1">
      <c r="A1" s="466"/>
      <c r="B1" s="466"/>
      <c r="C1" s="466"/>
      <c r="D1" s="466"/>
      <c r="E1" s="466"/>
      <c r="F1" s="47" t="str">
        <f>'valori e pesi DEXI-INVERSION'!F2</f>
        <v>Azienda1</v>
      </c>
    </row>
    <row r="18" spans="1:1" ht="18">
      <c r="A18" s="41" t="s">
        <v>13</v>
      </c>
    </row>
  </sheetData>
  <mergeCells count="1">
    <mergeCell ref="A1:E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valori e pesi DEXI-INVERSION</vt:lpstr>
      <vt:lpstr>Salute del suolo</vt:lpstr>
      <vt:lpstr>Tabella_razione</vt:lpstr>
      <vt:lpstr>Inquinanti idrici</vt:lpstr>
      <vt:lpstr>Valutazione Dim. Ambientale</vt:lpstr>
      <vt:lpstr>Bilancio economico</vt:lpstr>
      <vt:lpstr>Valutazione Dim.Etica</vt:lpstr>
      <vt:lpstr>Valutazione Dim.SocioEconomica</vt:lpstr>
      <vt:lpstr>Valutazione Riepilogo </vt:lpstr>
      <vt:lpstr>motore valutazione</vt:lpstr>
      <vt:lpstr>option_import_tab.txt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 sssa</dc:creator>
  <cp:lastModifiedBy>Patrizia Gionghi</cp:lastModifiedBy>
  <dcterms:created xsi:type="dcterms:W3CDTF">2020-05-05T15:06:12Z</dcterms:created>
  <dcterms:modified xsi:type="dcterms:W3CDTF">2021-04-22T09:43:29Z</dcterms:modified>
</cp:coreProperties>
</file>